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cf\Documents\CAA\Website items\WebDownloads\from Website\"/>
    </mc:Choice>
  </mc:AlternateContent>
  <bookViews>
    <workbookView xWindow="480" yWindow="90" windowWidth="9555" windowHeight="7395" firstSheet="1" activeTab="8" xr2:uid="{00000000-000D-0000-FFFF-FFFF00000000}"/>
  </bookViews>
  <sheets>
    <sheet name="Instructions" sheetId="22" r:id="rId1"/>
    <sheet name="Data" sheetId="14" r:id="rId2"/>
    <sheet name="Pin15" sheetId="17" r:id="rId3"/>
    <sheet name="Pin16" sheetId="28" r:id="rId4"/>
    <sheet name="Pin17" sheetId="27" r:id="rId5"/>
    <sheet name="Pin21" sheetId="26" r:id="rId6"/>
    <sheet name="Pin30" sheetId="29" r:id="rId7"/>
    <sheet name="Pin31" sheetId="25" r:id="rId8"/>
    <sheet name="Pin 40" sheetId="30" r:id="rId9"/>
    <sheet name="Pin51" sheetId="24" r:id="rId10"/>
  </sheets>
  <definedNames>
    <definedName name="Options1" localSheetId="8">'Pin 40'!$I$2:$I$5</definedName>
    <definedName name="Options1" localSheetId="2">'Pin15'!$I$2:$I$5</definedName>
    <definedName name="Options1" localSheetId="3">'Pin16'!$I$2:$I$5</definedName>
    <definedName name="Options1" localSheetId="4">'Pin17'!$I$2:$I$5</definedName>
    <definedName name="Options1" localSheetId="5">'Pin21'!$I$2:$I$5</definedName>
    <definedName name="Options1" localSheetId="6">'Pin30'!$I$2:$I$5</definedName>
    <definedName name="Options1" localSheetId="7">'Pin31'!$I$2:$I$5</definedName>
    <definedName name="Options1" localSheetId="9">'Pin51'!$I$2:$I$5</definedName>
    <definedName name="Options1">#REF!</definedName>
    <definedName name="Select_Title" localSheetId="8">'Pin 40'!$I$2:$I$5</definedName>
    <definedName name="Select_Title" localSheetId="2">'Pin15'!$I$2:$I$5</definedName>
    <definedName name="Select_Title" localSheetId="3">'Pin16'!$I$2:$I$5</definedName>
    <definedName name="Select_Title" localSheetId="4">'Pin17'!$I$2:$I$5</definedName>
    <definedName name="Select_Title" localSheetId="5">'Pin21'!$I$2:$I$5</definedName>
    <definedName name="Select_Title" localSheetId="6">'Pin30'!$I$2:$I$5</definedName>
    <definedName name="Select_Title" localSheetId="7">'Pin31'!$I$2:$I$5</definedName>
    <definedName name="Select_Title" localSheetId="9">'Pin51'!$I$2:$I$5</definedName>
    <definedName name="Select_Title">#REF!</definedName>
  </definedNames>
  <calcPr calcId="171027"/>
</workbook>
</file>

<file path=xl/calcChain.xml><?xml version="1.0" encoding="utf-8"?>
<calcChain xmlns="http://schemas.openxmlformats.org/spreadsheetml/2006/main">
  <c r="D3" i="17" l="1"/>
  <c r="D4" i="17"/>
  <c r="D5" i="17"/>
  <c r="D6" i="17"/>
  <c r="D7" i="17"/>
  <c r="D8" i="17"/>
  <c r="D9" i="17"/>
  <c r="D10" i="17"/>
  <c r="D2" i="17"/>
  <c r="C19" i="30" l="1"/>
  <c r="G16" i="30"/>
  <c r="F14" i="30"/>
  <c r="E14" i="30"/>
  <c r="D14" i="30"/>
  <c r="C14" i="30" s="1"/>
  <c r="Y14" i="30" s="1"/>
  <c r="F13" i="30"/>
  <c r="E13" i="30"/>
  <c r="D13" i="30"/>
  <c r="C13" i="30" s="1"/>
  <c r="Y13" i="30" s="1"/>
  <c r="F12" i="30"/>
  <c r="E12" i="30"/>
  <c r="D12" i="30"/>
  <c r="C12" i="30" s="1"/>
  <c r="Y12" i="30" s="1"/>
  <c r="S11" i="30"/>
  <c r="F11" i="30"/>
  <c r="E11" i="30"/>
  <c r="D11" i="30"/>
  <c r="C11" i="30" s="1"/>
  <c r="Y11" i="30" s="1"/>
  <c r="F10" i="30"/>
  <c r="E10" i="30"/>
  <c r="D10" i="30"/>
  <c r="C10" i="30" s="1"/>
  <c r="Y10" i="30" s="1"/>
  <c r="F9" i="30"/>
  <c r="E9" i="30"/>
  <c r="D9" i="30"/>
  <c r="C9" i="30" s="1"/>
  <c r="Y9" i="30" s="1"/>
  <c r="F8" i="30"/>
  <c r="E8" i="30"/>
  <c r="D8" i="30"/>
  <c r="C8" i="30" s="1"/>
  <c r="Y8" i="30" s="1"/>
  <c r="F7" i="30"/>
  <c r="E7" i="30"/>
  <c r="D7" i="30"/>
  <c r="C7" i="30" s="1"/>
  <c r="Y7" i="30" s="1"/>
  <c r="F6" i="30"/>
  <c r="E6" i="30"/>
  <c r="D6" i="30"/>
  <c r="C6" i="30" s="1"/>
  <c r="Y6" i="30" s="1"/>
  <c r="F5" i="30"/>
  <c r="E5" i="30"/>
  <c r="D5" i="30"/>
  <c r="C5" i="30" s="1"/>
  <c r="Y5" i="30" s="1"/>
  <c r="F4" i="30"/>
  <c r="E4" i="30"/>
  <c r="D4" i="30"/>
  <c r="C4" i="30" s="1"/>
  <c r="Y4" i="30" s="1"/>
  <c r="O3" i="30"/>
  <c r="F3" i="30"/>
  <c r="E3" i="30"/>
  <c r="D3" i="30"/>
  <c r="C3" i="30" s="1"/>
  <c r="Y3" i="30" s="1"/>
  <c r="F2" i="30"/>
  <c r="E2" i="30"/>
  <c r="D2" i="30"/>
  <c r="C2" i="30" s="1"/>
  <c r="C19" i="29"/>
  <c r="G16" i="29"/>
  <c r="F14" i="29"/>
  <c r="E14" i="29"/>
  <c r="D14" i="29"/>
  <c r="C14" i="29" s="1"/>
  <c r="Y14" i="29" s="1"/>
  <c r="F13" i="29"/>
  <c r="E13" i="29"/>
  <c r="D13" i="29"/>
  <c r="C13" i="29" s="1"/>
  <c r="Y13" i="29" s="1"/>
  <c r="F12" i="29"/>
  <c r="E12" i="29"/>
  <c r="D12" i="29"/>
  <c r="C12" i="29" s="1"/>
  <c r="Y12" i="29" s="1"/>
  <c r="S11" i="29"/>
  <c r="F11" i="29"/>
  <c r="E11" i="29"/>
  <c r="D11" i="29"/>
  <c r="C11" i="29" s="1"/>
  <c r="Y11" i="29" s="1"/>
  <c r="F10" i="29"/>
  <c r="E10" i="29"/>
  <c r="D10" i="29"/>
  <c r="C10" i="29" s="1"/>
  <c r="Y10" i="29" s="1"/>
  <c r="F9" i="29"/>
  <c r="E9" i="29"/>
  <c r="D9" i="29"/>
  <c r="C9" i="29" s="1"/>
  <c r="Y9" i="29" s="1"/>
  <c r="F8" i="29"/>
  <c r="E8" i="29"/>
  <c r="D8" i="29"/>
  <c r="C8" i="29" s="1"/>
  <c r="Y8" i="29" s="1"/>
  <c r="F7" i="29"/>
  <c r="E7" i="29"/>
  <c r="D7" i="29"/>
  <c r="C7" i="29" s="1"/>
  <c r="Y7" i="29" s="1"/>
  <c r="F6" i="29"/>
  <c r="E6" i="29"/>
  <c r="D6" i="29"/>
  <c r="C6" i="29" s="1"/>
  <c r="Y6" i="29" s="1"/>
  <c r="F5" i="29"/>
  <c r="E5" i="29"/>
  <c r="D5" i="29"/>
  <c r="C5" i="29" s="1"/>
  <c r="Y5" i="29" s="1"/>
  <c r="F4" i="29"/>
  <c r="E4" i="29"/>
  <c r="D4" i="29"/>
  <c r="C4" i="29" s="1"/>
  <c r="Y4" i="29" s="1"/>
  <c r="O3" i="29"/>
  <c r="F3" i="29"/>
  <c r="E3" i="29"/>
  <c r="D3" i="29"/>
  <c r="C3" i="29" s="1"/>
  <c r="Y3" i="29" s="1"/>
  <c r="F2" i="29"/>
  <c r="E2" i="29"/>
  <c r="D2" i="29"/>
  <c r="C2" i="29" s="1"/>
  <c r="C19" i="28"/>
  <c r="G16" i="28"/>
  <c r="F14" i="28"/>
  <c r="E14" i="28"/>
  <c r="D14" i="28"/>
  <c r="C14" i="28" s="1"/>
  <c r="Y14" i="28" s="1"/>
  <c r="F13" i="28"/>
  <c r="E13" i="28"/>
  <c r="D13" i="28"/>
  <c r="C13" i="28" s="1"/>
  <c r="Y13" i="28" s="1"/>
  <c r="F12" i="28"/>
  <c r="E12" i="28"/>
  <c r="D12" i="28"/>
  <c r="C12" i="28" s="1"/>
  <c r="Y12" i="28" s="1"/>
  <c r="S11" i="28"/>
  <c r="F11" i="28"/>
  <c r="E11" i="28"/>
  <c r="D11" i="28"/>
  <c r="C11" i="28" s="1"/>
  <c r="Y11" i="28" s="1"/>
  <c r="F10" i="28"/>
  <c r="E10" i="28"/>
  <c r="D10" i="28"/>
  <c r="C10" i="28" s="1"/>
  <c r="Y10" i="28" s="1"/>
  <c r="F9" i="28"/>
  <c r="E9" i="28"/>
  <c r="D9" i="28"/>
  <c r="C9" i="28" s="1"/>
  <c r="Y9" i="28" s="1"/>
  <c r="F8" i="28"/>
  <c r="E8" i="28"/>
  <c r="D8" i="28"/>
  <c r="C8" i="28" s="1"/>
  <c r="Y8" i="28" s="1"/>
  <c r="F7" i="28"/>
  <c r="E7" i="28"/>
  <c r="D7" i="28"/>
  <c r="C7" i="28" s="1"/>
  <c r="Y7" i="28" s="1"/>
  <c r="F6" i="28"/>
  <c r="E6" i="28"/>
  <c r="D6" i="28"/>
  <c r="C6" i="28" s="1"/>
  <c r="Y6" i="28" s="1"/>
  <c r="F5" i="28"/>
  <c r="E5" i="28"/>
  <c r="D5" i="28"/>
  <c r="C5" i="28" s="1"/>
  <c r="Y5" i="28" s="1"/>
  <c r="F4" i="28"/>
  <c r="E4" i="28"/>
  <c r="D4" i="28"/>
  <c r="C4" i="28" s="1"/>
  <c r="Y4" i="28" s="1"/>
  <c r="O3" i="28"/>
  <c r="F3" i="28"/>
  <c r="E3" i="28"/>
  <c r="D3" i="28"/>
  <c r="C3" i="28" s="1"/>
  <c r="Y3" i="28" s="1"/>
  <c r="F2" i="28"/>
  <c r="E2" i="28"/>
  <c r="D2" i="28"/>
  <c r="C2" i="28" s="1"/>
  <c r="Y2" i="28" s="1"/>
  <c r="C19" i="27"/>
  <c r="G16" i="27"/>
  <c r="F14" i="27"/>
  <c r="E14" i="27"/>
  <c r="D14" i="27"/>
  <c r="C14" i="27" s="1"/>
  <c r="Y14" i="27" s="1"/>
  <c r="F13" i="27"/>
  <c r="E13" i="27"/>
  <c r="D13" i="27"/>
  <c r="C13" i="27" s="1"/>
  <c r="Y13" i="27" s="1"/>
  <c r="F12" i="27"/>
  <c r="E12" i="27"/>
  <c r="D12" i="27"/>
  <c r="C12" i="27" s="1"/>
  <c r="Y12" i="27" s="1"/>
  <c r="S11" i="27"/>
  <c r="F11" i="27"/>
  <c r="E11" i="27"/>
  <c r="D11" i="27"/>
  <c r="C11" i="27" s="1"/>
  <c r="Y11" i="27" s="1"/>
  <c r="F10" i="27"/>
  <c r="E10" i="27"/>
  <c r="D10" i="27"/>
  <c r="C10" i="27" s="1"/>
  <c r="Y10" i="27" s="1"/>
  <c r="F9" i="27"/>
  <c r="E9" i="27"/>
  <c r="D9" i="27"/>
  <c r="C9" i="27" s="1"/>
  <c r="Y9" i="27" s="1"/>
  <c r="F8" i="27"/>
  <c r="E8" i="27"/>
  <c r="D8" i="27"/>
  <c r="C8" i="27" s="1"/>
  <c r="Y8" i="27" s="1"/>
  <c r="F7" i="27"/>
  <c r="E7" i="27"/>
  <c r="D7" i="27"/>
  <c r="C7" i="27" s="1"/>
  <c r="Y7" i="27" s="1"/>
  <c r="F6" i="27"/>
  <c r="E6" i="27"/>
  <c r="D6" i="27"/>
  <c r="C6" i="27" s="1"/>
  <c r="Y6" i="27" s="1"/>
  <c r="F5" i="27"/>
  <c r="E5" i="27"/>
  <c r="D5" i="27"/>
  <c r="C5" i="27" s="1"/>
  <c r="Y5" i="27" s="1"/>
  <c r="F4" i="27"/>
  <c r="E4" i="27"/>
  <c r="D4" i="27"/>
  <c r="C4" i="27" s="1"/>
  <c r="Y4" i="27" s="1"/>
  <c r="O3" i="27"/>
  <c r="F3" i="27"/>
  <c r="E3" i="27"/>
  <c r="D3" i="27"/>
  <c r="C3" i="27" s="1"/>
  <c r="Y3" i="27" s="1"/>
  <c r="F2" i="27"/>
  <c r="E2" i="27"/>
  <c r="D2" i="27"/>
  <c r="C2" i="27" s="1"/>
  <c r="C19" i="26"/>
  <c r="G16" i="26"/>
  <c r="F14" i="26"/>
  <c r="E14" i="26"/>
  <c r="D14" i="26"/>
  <c r="C14" i="26" s="1"/>
  <c r="Y14" i="26" s="1"/>
  <c r="F13" i="26"/>
  <c r="E13" i="26"/>
  <c r="D13" i="26"/>
  <c r="C13" i="26" s="1"/>
  <c r="Y13" i="26" s="1"/>
  <c r="F12" i="26"/>
  <c r="E12" i="26"/>
  <c r="D12" i="26"/>
  <c r="C12" i="26" s="1"/>
  <c r="Y12" i="26" s="1"/>
  <c r="S11" i="26"/>
  <c r="F11" i="26"/>
  <c r="E11" i="26"/>
  <c r="D11" i="26"/>
  <c r="C11" i="26" s="1"/>
  <c r="Y11" i="26" s="1"/>
  <c r="F10" i="26"/>
  <c r="E10" i="26"/>
  <c r="D10" i="26"/>
  <c r="C10" i="26" s="1"/>
  <c r="Y10" i="26" s="1"/>
  <c r="F9" i="26"/>
  <c r="E9" i="26"/>
  <c r="D9" i="26"/>
  <c r="C9" i="26" s="1"/>
  <c r="Y9" i="26" s="1"/>
  <c r="F8" i="26"/>
  <c r="E8" i="26"/>
  <c r="D8" i="26"/>
  <c r="C8" i="26" s="1"/>
  <c r="Y8" i="26" s="1"/>
  <c r="F7" i="26"/>
  <c r="E7" i="26"/>
  <c r="D7" i="26"/>
  <c r="C7" i="26" s="1"/>
  <c r="Y7" i="26" s="1"/>
  <c r="F6" i="26"/>
  <c r="E6" i="26"/>
  <c r="D6" i="26"/>
  <c r="C6" i="26" s="1"/>
  <c r="Y6" i="26" s="1"/>
  <c r="F5" i="26"/>
  <c r="E5" i="26"/>
  <c r="D5" i="26"/>
  <c r="C5" i="26" s="1"/>
  <c r="Y5" i="26" s="1"/>
  <c r="F4" i="26"/>
  <c r="E4" i="26"/>
  <c r="D4" i="26"/>
  <c r="C4" i="26" s="1"/>
  <c r="Y4" i="26" s="1"/>
  <c r="O3" i="26"/>
  <c r="F3" i="26"/>
  <c r="E3" i="26"/>
  <c r="D3" i="26"/>
  <c r="C3" i="26" s="1"/>
  <c r="Y3" i="26" s="1"/>
  <c r="F2" i="26"/>
  <c r="E2" i="26"/>
  <c r="D2" i="26"/>
  <c r="C2" i="26" s="1"/>
  <c r="Y2" i="26" s="1"/>
  <c r="Y2" i="30" l="1"/>
  <c r="Y15" i="30" s="1"/>
  <c r="O2" i="30"/>
  <c r="C15" i="30" s="1"/>
  <c r="C16" i="30" s="1"/>
  <c r="O2" i="29"/>
  <c r="C15" i="29" s="1"/>
  <c r="C16" i="29" s="1"/>
  <c r="Y2" i="29"/>
  <c r="Y15" i="29" s="1"/>
  <c r="Y15" i="28"/>
  <c r="O2" i="28"/>
  <c r="C15" i="28" s="1"/>
  <c r="C16" i="28" s="1"/>
  <c r="O2" i="27"/>
  <c r="C15" i="27" s="1"/>
  <c r="C16" i="27" s="1"/>
  <c r="Y2" i="27"/>
  <c r="Y15" i="27" s="1"/>
  <c r="Y15" i="26"/>
  <c r="O2" i="26"/>
  <c r="C15" i="26" s="1"/>
  <c r="C16" i="26" s="1"/>
  <c r="G16" i="25"/>
  <c r="C19" i="25"/>
  <c r="F14" i="25"/>
  <c r="E14" i="25"/>
  <c r="D14" i="25"/>
  <c r="C14" i="25" s="1"/>
  <c r="Y14" i="25" s="1"/>
  <c r="F13" i="25"/>
  <c r="E13" i="25"/>
  <c r="D13" i="25"/>
  <c r="C13" i="25" s="1"/>
  <c r="Y13" i="25" s="1"/>
  <c r="F12" i="25"/>
  <c r="E12" i="25"/>
  <c r="D12" i="25"/>
  <c r="C12" i="25" s="1"/>
  <c r="Y12" i="25" s="1"/>
  <c r="S11" i="25"/>
  <c r="F11" i="25"/>
  <c r="E11" i="25"/>
  <c r="D11" i="25"/>
  <c r="C11" i="25" s="1"/>
  <c r="Y11" i="25" s="1"/>
  <c r="F10" i="25"/>
  <c r="E10" i="25"/>
  <c r="D10" i="25"/>
  <c r="C10" i="25" s="1"/>
  <c r="Y10" i="25" s="1"/>
  <c r="F9" i="25"/>
  <c r="E9" i="25"/>
  <c r="D9" i="25"/>
  <c r="C9" i="25" s="1"/>
  <c r="Y9" i="25" s="1"/>
  <c r="F8" i="25"/>
  <c r="E8" i="25"/>
  <c r="D8" i="25"/>
  <c r="C8" i="25" s="1"/>
  <c r="Y8" i="25" s="1"/>
  <c r="F7" i="25"/>
  <c r="E7" i="25"/>
  <c r="D7" i="25"/>
  <c r="C7" i="25" s="1"/>
  <c r="Y7" i="25" s="1"/>
  <c r="F6" i="25"/>
  <c r="E6" i="25"/>
  <c r="D6" i="25"/>
  <c r="C6" i="25" s="1"/>
  <c r="Y6" i="25" s="1"/>
  <c r="F5" i="25"/>
  <c r="E5" i="25"/>
  <c r="D5" i="25"/>
  <c r="C5" i="25" s="1"/>
  <c r="Y5" i="25" s="1"/>
  <c r="F4" i="25"/>
  <c r="E4" i="25"/>
  <c r="D4" i="25"/>
  <c r="C4" i="25" s="1"/>
  <c r="Y4" i="25" s="1"/>
  <c r="O3" i="25"/>
  <c r="F3" i="25"/>
  <c r="E3" i="25"/>
  <c r="D3" i="25"/>
  <c r="C3" i="25" s="1"/>
  <c r="Y3" i="25" s="1"/>
  <c r="F2" i="25"/>
  <c r="E2" i="25"/>
  <c r="D2" i="25"/>
  <c r="C2" i="25" s="1"/>
  <c r="C19" i="24"/>
  <c r="G16" i="24"/>
  <c r="F14" i="24"/>
  <c r="E14" i="24"/>
  <c r="D14" i="24"/>
  <c r="C14" i="24" s="1"/>
  <c r="Y14" i="24" s="1"/>
  <c r="F13" i="24"/>
  <c r="E13" i="24"/>
  <c r="D13" i="24"/>
  <c r="C13" i="24" s="1"/>
  <c r="Y13" i="24" s="1"/>
  <c r="F12" i="24"/>
  <c r="E12" i="24"/>
  <c r="D12" i="24"/>
  <c r="C12" i="24" s="1"/>
  <c r="Y12" i="24" s="1"/>
  <c r="S11" i="24"/>
  <c r="F11" i="24"/>
  <c r="E11" i="24"/>
  <c r="D11" i="24"/>
  <c r="C11" i="24" s="1"/>
  <c r="Y11" i="24" s="1"/>
  <c r="F10" i="24"/>
  <c r="E10" i="24"/>
  <c r="D10" i="24"/>
  <c r="C10" i="24" s="1"/>
  <c r="Y10" i="24" s="1"/>
  <c r="F9" i="24"/>
  <c r="E9" i="24"/>
  <c r="D9" i="24"/>
  <c r="C9" i="24" s="1"/>
  <c r="Y9" i="24" s="1"/>
  <c r="F8" i="24"/>
  <c r="E8" i="24"/>
  <c r="D8" i="24"/>
  <c r="C8" i="24" s="1"/>
  <c r="Y8" i="24" s="1"/>
  <c r="F7" i="24"/>
  <c r="E7" i="24"/>
  <c r="D7" i="24"/>
  <c r="C7" i="24" s="1"/>
  <c r="Y7" i="24" s="1"/>
  <c r="F6" i="24"/>
  <c r="E6" i="24"/>
  <c r="D6" i="24"/>
  <c r="C6" i="24" s="1"/>
  <c r="Y6" i="24" s="1"/>
  <c r="F5" i="24"/>
  <c r="E5" i="24"/>
  <c r="D5" i="24"/>
  <c r="C5" i="24" s="1"/>
  <c r="Y5" i="24" s="1"/>
  <c r="F4" i="24"/>
  <c r="E4" i="24"/>
  <c r="D4" i="24"/>
  <c r="C4" i="24" s="1"/>
  <c r="Y4" i="24" s="1"/>
  <c r="O3" i="24"/>
  <c r="F3" i="24"/>
  <c r="E3" i="24"/>
  <c r="D3" i="24"/>
  <c r="C3" i="24" s="1"/>
  <c r="Y3" i="24" s="1"/>
  <c r="F2" i="24"/>
  <c r="E2" i="24"/>
  <c r="D2" i="24"/>
  <c r="C2" i="24" s="1"/>
  <c r="D11" i="17"/>
  <c r="D12" i="17"/>
  <c r="D13" i="17"/>
  <c r="D14" i="17"/>
  <c r="C7" i="17"/>
  <c r="R24" i="30" l="1"/>
  <c r="P24" i="30"/>
  <c r="N24" i="30"/>
  <c r="L24" i="30"/>
  <c r="J24" i="30"/>
  <c r="H24" i="30"/>
  <c r="Q23" i="30"/>
  <c r="O23" i="30"/>
  <c r="M23" i="30"/>
  <c r="K23" i="30"/>
  <c r="I23" i="30"/>
  <c r="R22" i="30"/>
  <c r="P22" i="30"/>
  <c r="N22" i="30"/>
  <c r="L22" i="30"/>
  <c r="J22" i="30"/>
  <c r="H22" i="30"/>
  <c r="Q21" i="30"/>
  <c r="O21" i="30"/>
  <c r="M21" i="30"/>
  <c r="K21" i="30"/>
  <c r="I21" i="30"/>
  <c r="P18" i="30"/>
  <c r="N18" i="30"/>
  <c r="L18" i="30"/>
  <c r="J18" i="30"/>
  <c r="H18" i="30"/>
  <c r="P17" i="30"/>
  <c r="N17" i="30"/>
  <c r="L17" i="30"/>
  <c r="J17" i="30"/>
  <c r="H17" i="30"/>
  <c r="Q16" i="30"/>
  <c r="O16" i="30"/>
  <c r="M16" i="30"/>
  <c r="K16" i="30"/>
  <c r="I16" i="30"/>
  <c r="P15" i="30"/>
  <c r="N15" i="30"/>
  <c r="L15" i="30"/>
  <c r="J15" i="30"/>
  <c r="H15" i="30"/>
  <c r="N12" i="30"/>
  <c r="L12" i="30"/>
  <c r="J12" i="30"/>
  <c r="H12" i="30"/>
  <c r="N11" i="30"/>
  <c r="L11" i="30"/>
  <c r="J11" i="30"/>
  <c r="H11" i="30"/>
  <c r="O10" i="30"/>
  <c r="M10" i="30"/>
  <c r="K10" i="30"/>
  <c r="I10" i="30"/>
  <c r="N9" i="30"/>
  <c r="L9" i="30"/>
  <c r="J9" i="30"/>
  <c r="H9" i="30"/>
  <c r="Q24" i="30"/>
  <c r="O24" i="30"/>
  <c r="M24" i="30"/>
  <c r="K24" i="30"/>
  <c r="I24" i="30"/>
  <c r="R23" i="30"/>
  <c r="P23" i="30"/>
  <c r="N23" i="30"/>
  <c r="L23" i="30"/>
  <c r="J23" i="30"/>
  <c r="H23" i="30"/>
  <c r="Q22" i="30"/>
  <c r="O22" i="30"/>
  <c r="M22" i="30"/>
  <c r="K22" i="30"/>
  <c r="I22" i="30"/>
  <c r="R21" i="30"/>
  <c r="P21" i="30"/>
  <c r="N21" i="30"/>
  <c r="L21" i="30"/>
  <c r="J21" i="30"/>
  <c r="H21" i="30"/>
  <c r="Q18" i="30"/>
  <c r="O18" i="30"/>
  <c r="M18" i="30"/>
  <c r="K18" i="30"/>
  <c r="I18" i="30"/>
  <c r="Q17" i="30"/>
  <c r="O17" i="30"/>
  <c r="M17" i="30"/>
  <c r="K17" i="30"/>
  <c r="I17" i="30"/>
  <c r="C17" i="30"/>
  <c r="P16" i="30"/>
  <c r="N16" i="30"/>
  <c r="L16" i="30"/>
  <c r="J16" i="30"/>
  <c r="H16" i="30"/>
  <c r="Q15" i="30"/>
  <c r="O15" i="30"/>
  <c r="M15" i="30"/>
  <c r="K15" i="30"/>
  <c r="I15" i="30"/>
  <c r="O12" i="30"/>
  <c r="M12" i="30"/>
  <c r="K12" i="30"/>
  <c r="I12" i="30"/>
  <c r="O11" i="30"/>
  <c r="M11" i="30"/>
  <c r="K11" i="30"/>
  <c r="I11" i="30"/>
  <c r="N10" i="30"/>
  <c r="L10" i="30"/>
  <c r="J10" i="30"/>
  <c r="H10" i="30"/>
  <c r="O9" i="30"/>
  <c r="M9" i="30"/>
  <c r="K9" i="30"/>
  <c r="I9" i="30"/>
  <c r="Q24" i="29"/>
  <c r="O24" i="29"/>
  <c r="M24" i="29"/>
  <c r="K24" i="29"/>
  <c r="I24" i="29"/>
  <c r="R23" i="29"/>
  <c r="P23" i="29"/>
  <c r="N23" i="29"/>
  <c r="L23" i="29"/>
  <c r="J23" i="29"/>
  <c r="H23" i="29"/>
  <c r="Q22" i="29"/>
  <c r="O22" i="29"/>
  <c r="M22" i="29"/>
  <c r="K22" i="29"/>
  <c r="I22" i="29"/>
  <c r="R21" i="29"/>
  <c r="P21" i="29"/>
  <c r="N21" i="29"/>
  <c r="L21" i="29"/>
  <c r="J21" i="29"/>
  <c r="H21" i="29"/>
  <c r="Q18" i="29"/>
  <c r="O18" i="29"/>
  <c r="M18" i="29"/>
  <c r="K18" i="29"/>
  <c r="I18" i="29"/>
  <c r="Q17" i="29"/>
  <c r="O17" i="29"/>
  <c r="M17" i="29"/>
  <c r="K17" i="29"/>
  <c r="I17" i="29"/>
  <c r="C17" i="29"/>
  <c r="P16" i="29"/>
  <c r="N16" i="29"/>
  <c r="L16" i="29"/>
  <c r="J16" i="29"/>
  <c r="H16" i="29"/>
  <c r="Q15" i="29"/>
  <c r="O15" i="29"/>
  <c r="M15" i="29"/>
  <c r="K15" i="29"/>
  <c r="I15" i="29"/>
  <c r="O12" i="29"/>
  <c r="M12" i="29"/>
  <c r="K12" i="29"/>
  <c r="I12" i="29"/>
  <c r="O11" i="29"/>
  <c r="M11" i="29"/>
  <c r="K11" i="29"/>
  <c r="I11" i="29"/>
  <c r="N10" i="29"/>
  <c r="L10" i="29"/>
  <c r="J10" i="29"/>
  <c r="H10" i="29"/>
  <c r="O9" i="29"/>
  <c r="M9" i="29"/>
  <c r="K9" i="29"/>
  <c r="I9" i="29"/>
  <c r="R24" i="29"/>
  <c r="P24" i="29"/>
  <c r="N24" i="29"/>
  <c r="L24" i="29"/>
  <c r="J24" i="29"/>
  <c r="H24" i="29"/>
  <c r="Q23" i="29"/>
  <c r="O23" i="29"/>
  <c r="M23" i="29"/>
  <c r="K23" i="29"/>
  <c r="R22" i="29"/>
  <c r="N22" i="29"/>
  <c r="J22" i="29"/>
  <c r="Q21" i="29"/>
  <c r="M21" i="29"/>
  <c r="I21" i="29"/>
  <c r="P18" i="29"/>
  <c r="L18" i="29"/>
  <c r="H18" i="29"/>
  <c r="N17" i="29"/>
  <c r="J17" i="29"/>
  <c r="Q16" i="29"/>
  <c r="M16" i="29"/>
  <c r="I16" i="29"/>
  <c r="N15" i="29"/>
  <c r="J15" i="29"/>
  <c r="L12" i="29"/>
  <c r="H12" i="29"/>
  <c r="N11" i="29"/>
  <c r="J11" i="29"/>
  <c r="O10" i="29"/>
  <c r="K10" i="29"/>
  <c r="N9" i="29"/>
  <c r="J9" i="29"/>
  <c r="I23" i="29"/>
  <c r="P22" i="29"/>
  <c r="L22" i="29"/>
  <c r="H22" i="29"/>
  <c r="O21" i="29"/>
  <c r="K21" i="29"/>
  <c r="N18" i="29"/>
  <c r="J18" i="29"/>
  <c r="P17" i="29"/>
  <c r="L17" i="29"/>
  <c r="H17" i="29"/>
  <c r="O16" i="29"/>
  <c r="K16" i="29"/>
  <c r="P15" i="29"/>
  <c r="L15" i="29"/>
  <c r="H15" i="29"/>
  <c r="N12" i="29"/>
  <c r="J12" i="29"/>
  <c r="L11" i="29"/>
  <c r="H11" i="29"/>
  <c r="M10" i="29"/>
  <c r="I10" i="29"/>
  <c r="L9" i="29"/>
  <c r="H9" i="29"/>
  <c r="Q24" i="28"/>
  <c r="O24" i="28"/>
  <c r="M24" i="28"/>
  <c r="K24" i="28"/>
  <c r="I24" i="28"/>
  <c r="R23" i="28"/>
  <c r="P23" i="28"/>
  <c r="N23" i="28"/>
  <c r="L23" i="28"/>
  <c r="J23" i="28"/>
  <c r="H23" i="28"/>
  <c r="Q22" i="28"/>
  <c r="O22" i="28"/>
  <c r="M22" i="28"/>
  <c r="K22" i="28"/>
  <c r="I22" i="28"/>
  <c r="R21" i="28"/>
  <c r="P21" i="28"/>
  <c r="N21" i="28"/>
  <c r="L21" i="28"/>
  <c r="J21" i="28"/>
  <c r="H21" i="28"/>
  <c r="Q18" i="28"/>
  <c r="O18" i="28"/>
  <c r="M18" i="28"/>
  <c r="K18" i="28"/>
  <c r="I18" i="28"/>
  <c r="Q17" i="28"/>
  <c r="O17" i="28"/>
  <c r="M17" i="28"/>
  <c r="K17" i="28"/>
  <c r="I17" i="28"/>
  <c r="C17" i="28"/>
  <c r="P16" i="28"/>
  <c r="N16" i="28"/>
  <c r="L16" i="28"/>
  <c r="J16" i="28"/>
  <c r="H16" i="28"/>
  <c r="Q15" i="28"/>
  <c r="O15" i="28"/>
  <c r="M15" i="28"/>
  <c r="K15" i="28"/>
  <c r="I15" i="28"/>
  <c r="O12" i="28"/>
  <c r="M12" i="28"/>
  <c r="K12" i="28"/>
  <c r="I12" i="28"/>
  <c r="O11" i="28"/>
  <c r="M11" i="28"/>
  <c r="K11" i="28"/>
  <c r="I11" i="28"/>
  <c r="N10" i="28"/>
  <c r="L10" i="28"/>
  <c r="J10" i="28"/>
  <c r="H10" i="28"/>
  <c r="O9" i="28"/>
  <c r="M9" i="28"/>
  <c r="K9" i="28"/>
  <c r="I9" i="28"/>
  <c r="R24" i="28"/>
  <c r="P24" i="28"/>
  <c r="N24" i="28"/>
  <c r="L24" i="28"/>
  <c r="J24" i="28"/>
  <c r="H24" i="28"/>
  <c r="Q23" i="28"/>
  <c r="O23" i="28"/>
  <c r="M23" i="28"/>
  <c r="K23" i="28"/>
  <c r="I23" i="28"/>
  <c r="P22" i="28"/>
  <c r="L22" i="28"/>
  <c r="H22" i="28"/>
  <c r="O21" i="28"/>
  <c r="K21" i="28"/>
  <c r="N18" i="28"/>
  <c r="J18" i="28"/>
  <c r="P17" i="28"/>
  <c r="L17" i="28"/>
  <c r="H17" i="28"/>
  <c r="O16" i="28"/>
  <c r="K16" i="28"/>
  <c r="P15" i="28"/>
  <c r="L15" i="28"/>
  <c r="H15" i="28"/>
  <c r="N12" i="28"/>
  <c r="J12" i="28"/>
  <c r="L11" i="28"/>
  <c r="H11" i="28"/>
  <c r="M10" i="28"/>
  <c r="I10" i="28"/>
  <c r="L9" i="28"/>
  <c r="H9" i="28"/>
  <c r="R22" i="28"/>
  <c r="N22" i="28"/>
  <c r="J22" i="28"/>
  <c r="Q21" i="28"/>
  <c r="M21" i="28"/>
  <c r="I21" i="28"/>
  <c r="P18" i="28"/>
  <c r="L18" i="28"/>
  <c r="H18" i="28"/>
  <c r="N17" i="28"/>
  <c r="J17" i="28"/>
  <c r="Q16" i="28"/>
  <c r="M16" i="28"/>
  <c r="I16" i="28"/>
  <c r="N15" i="28"/>
  <c r="J15" i="28"/>
  <c r="L12" i="28"/>
  <c r="H12" i="28"/>
  <c r="N11" i="28"/>
  <c r="J11" i="28"/>
  <c r="O10" i="28"/>
  <c r="K10" i="28"/>
  <c r="N9" i="28"/>
  <c r="J9" i="28"/>
  <c r="Q24" i="27"/>
  <c r="O24" i="27"/>
  <c r="M24" i="27"/>
  <c r="K24" i="27"/>
  <c r="I24" i="27"/>
  <c r="R23" i="27"/>
  <c r="P23" i="27"/>
  <c r="N23" i="27"/>
  <c r="L23" i="27"/>
  <c r="J23" i="27"/>
  <c r="H23" i="27"/>
  <c r="Q22" i="27"/>
  <c r="O22" i="27"/>
  <c r="M22" i="27"/>
  <c r="K22" i="27"/>
  <c r="I22" i="27"/>
  <c r="R21" i="27"/>
  <c r="P21" i="27"/>
  <c r="N21" i="27"/>
  <c r="L21" i="27"/>
  <c r="J21" i="27"/>
  <c r="H21" i="27"/>
  <c r="Q18" i="27"/>
  <c r="O18" i="27"/>
  <c r="M18" i="27"/>
  <c r="K18" i="27"/>
  <c r="I18" i="27"/>
  <c r="Q17" i="27"/>
  <c r="O17" i="27"/>
  <c r="M17" i="27"/>
  <c r="K17" i="27"/>
  <c r="I17" i="27"/>
  <c r="C17" i="27"/>
  <c r="P16" i="27"/>
  <c r="N16" i="27"/>
  <c r="L16" i="27"/>
  <c r="J16" i="27"/>
  <c r="H16" i="27"/>
  <c r="Q15" i="27"/>
  <c r="O15" i="27"/>
  <c r="M15" i="27"/>
  <c r="K15" i="27"/>
  <c r="I15" i="27"/>
  <c r="O12" i="27"/>
  <c r="M12" i="27"/>
  <c r="K12" i="27"/>
  <c r="I12" i="27"/>
  <c r="O11" i="27"/>
  <c r="M11" i="27"/>
  <c r="K11" i="27"/>
  <c r="I11" i="27"/>
  <c r="N10" i="27"/>
  <c r="L10" i="27"/>
  <c r="J10" i="27"/>
  <c r="H10" i="27"/>
  <c r="O9" i="27"/>
  <c r="M9" i="27"/>
  <c r="K9" i="27"/>
  <c r="I9" i="27"/>
  <c r="R24" i="27"/>
  <c r="P24" i="27"/>
  <c r="N24" i="27"/>
  <c r="L24" i="27"/>
  <c r="J24" i="27"/>
  <c r="H24" i="27"/>
  <c r="Q23" i="27"/>
  <c r="O23" i="27"/>
  <c r="M23" i="27"/>
  <c r="K23" i="27"/>
  <c r="R22" i="27"/>
  <c r="N22" i="27"/>
  <c r="J22" i="27"/>
  <c r="Q21" i="27"/>
  <c r="M21" i="27"/>
  <c r="I21" i="27"/>
  <c r="P18" i="27"/>
  <c r="L18" i="27"/>
  <c r="H18" i="27"/>
  <c r="N17" i="27"/>
  <c r="J17" i="27"/>
  <c r="Q16" i="27"/>
  <c r="M16" i="27"/>
  <c r="I16" i="27"/>
  <c r="N15" i="27"/>
  <c r="J15" i="27"/>
  <c r="L12" i="27"/>
  <c r="H12" i="27"/>
  <c r="N11" i="27"/>
  <c r="J11" i="27"/>
  <c r="O10" i="27"/>
  <c r="K10" i="27"/>
  <c r="N9" i="27"/>
  <c r="J9" i="27"/>
  <c r="I23" i="27"/>
  <c r="P22" i="27"/>
  <c r="L22" i="27"/>
  <c r="H22" i="27"/>
  <c r="O21" i="27"/>
  <c r="K21" i="27"/>
  <c r="N18" i="27"/>
  <c r="J18" i="27"/>
  <c r="P17" i="27"/>
  <c r="L17" i="27"/>
  <c r="H17" i="27"/>
  <c r="O16" i="27"/>
  <c r="K16" i="27"/>
  <c r="P15" i="27"/>
  <c r="L15" i="27"/>
  <c r="H15" i="27"/>
  <c r="N12" i="27"/>
  <c r="J12" i="27"/>
  <c r="L11" i="27"/>
  <c r="H11" i="27"/>
  <c r="M10" i="27"/>
  <c r="I10" i="27"/>
  <c r="L9" i="27"/>
  <c r="H9" i="27"/>
  <c r="R24" i="26"/>
  <c r="P24" i="26"/>
  <c r="N24" i="26"/>
  <c r="L24" i="26"/>
  <c r="J24" i="26"/>
  <c r="H24" i="26"/>
  <c r="Q23" i="26"/>
  <c r="O23" i="26"/>
  <c r="M23" i="26"/>
  <c r="K23" i="26"/>
  <c r="I23" i="26"/>
  <c r="R22" i="26"/>
  <c r="P22" i="26"/>
  <c r="N22" i="26"/>
  <c r="L22" i="26"/>
  <c r="J22" i="26"/>
  <c r="H22" i="26"/>
  <c r="Q21" i="26"/>
  <c r="O21" i="26"/>
  <c r="M21" i="26"/>
  <c r="K21" i="26"/>
  <c r="I21" i="26"/>
  <c r="P18" i="26"/>
  <c r="N18" i="26"/>
  <c r="L18" i="26"/>
  <c r="J18" i="26"/>
  <c r="H18" i="26"/>
  <c r="P17" i="26"/>
  <c r="N17" i="26"/>
  <c r="L17" i="26"/>
  <c r="J17" i="26"/>
  <c r="H17" i="26"/>
  <c r="Q16" i="26"/>
  <c r="O16" i="26"/>
  <c r="M16" i="26"/>
  <c r="K16" i="26"/>
  <c r="I16" i="26"/>
  <c r="P15" i="26"/>
  <c r="N15" i="26"/>
  <c r="L15" i="26"/>
  <c r="J15" i="26"/>
  <c r="H15" i="26"/>
  <c r="N12" i="26"/>
  <c r="L12" i="26"/>
  <c r="J12" i="26"/>
  <c r="H12" i="26"/>
  <c r="N11" i="26"/>
  <c r="L11" i="26"/>
  <c r="J11" i="26"/>
  <c r="H11" i="26"/>
  <c r="O10" i="26"/>
  <c r="M10" i="26"/>
  <c r="K10" i="26"/>
  <c r="I10" i="26"/>
  <c r="N9" i="26"/>
  <c r="L9" i="26"/>
  <c r="J9" i="26"/>
  <c r="H9" i="26"/>
  <c r="Q24" i="26"/>
  <c r="O24" i="26"/>
  <c r="M24" i="26"/>
  <c r="K24" i="26"/>
  <c r="I24" i="26"/>
  <c r="R23" i="26"/>
  <c r="P23" i="26"/>
  <c r="N23" i="26"/>
  <c r="L23" i="26"/>
  <c r="J23" i="26"/>
  <c r="H23" i="26"/>
  <c r="Q22" i="26"/>
  <c r="O22" i="26"/>
  <c r="M22" i="26"/>
  <c r="I22" i="26"/>
  <c r="P21" i="26"/>
  <c r="L21" i="26"/>
  <c r="H21" i="26"/>
  <c r="Q18" i="26"/>
  <c r="M18" i="26"/>
  <c r="I18" i="26"/>
  <c r="O17" i="26"/>
  <c r="K17" i="26"/>
  <c r="C17" i="26"/>
  <c r="N16" i="26"/>
  <c r="J16" i="26"/>
  <c r="Q15" i="26"/>
  <c r="M15" i="26"/>
  <c r="I15" i="26"/>
  <c r="O12" i="26"/>
  <c r="K12" i="26"/>
  <c r="M11" i="26"/>
  <c r="I11" i="26"/>
  <c r="L10" i="26"/>
  <c r="H10" i="26"/>
  <c r="M9" i="26"/>
  <c r="I9" i="26"/>
  <c r="K22" i="26"/>
  <c r="R21" i="26"/>
  <c r="N21" i="26"/>
  <c r="J21" i="26"/>
  <c r="O18" i="26"/>
  <c r="K18" i="26"/>
  <c r="Q17" i="26"/>
  <c r="M17" i="26"/>
  <c r="I17" i="26"/>
  <c r="P16" i="26"/>
  <c r="L16" i="26"/>
  <c r="H16" i="26"/>
  <c r="O15" i="26"/>
  <c r="K15" i="26"/>
  <c r="M12" i="26"/>
  <c r="I12" i="26"/>
  <c r="O11" i="26"/>
  <c r="K11" i="26"/>
  <c r="N10" i="26"/>
  <c r="J10" i="26"/>
  <c r="O9" i="26"/>
  <c r="K9" i="26"/>
  <c r="Y2" i="25"/>
  <c r="Y15" i="25" s="1"/>
  <c r="O2" i="25"/>
  <c r="C15" i="25" s="1"/>
  <c r="C16" i="25" s="1"/>
  <c r="Y2" i="24"/>
  <c r="Y15" i="24" s="1"/>
  <c r="O2" i="24"/>
  <c r="C15" i="24" s="1"/>
  <c r="C16" i="24" s="1"/>
  <c r="M18" i="24" l="1"/>
  <c r="K18" i="24"/>
  <c r="I18" i="24"/>
  <c r="M17" i="24"/>
  <c r="K17" i="24"/>
  <c r="I17" i="24"/>
  <c r="M16" i="24"/>
  <c r="K16" i="24"/>
  <c r="I16" i="24"/>
  <c r="M15" i="24"/>
  <c r="K15" i="24"/>
  <c r="I15" i="24"/>
  <c r="M12" i="24"/>
  <c r="K12" i="24"/>
  <c r="I12" i="24"/>
  <c r="M11" i="24"/>
  <c r="K11" i="24"/>
  <c r="I11" i="24"/>
  <c r="M10" i="24"/>
  <c r="K10" i="24"/>
  <c r="I10" i="24"/>
  <c r="M9" i="24"/>
  <c r="K9" i="24"/>
  <c r="I9" i="24"/>
  <c r="L18" i="24"/>
  <c r="J18" i="24"/>
  <c r="H18" i="24"/>
  <c r="L17" i="24"/>
  <c r="J17" i="24"/>
  <c r="H17" i="24"/>
  <c r="L16" i="24"/>
  <c r="J16" i="24"/>
  <c r="H16" i="24"/>
  <c r="L15" i="24"/>
  <c r="J15" i="24"/>
  <c r="H15" i="24"/>
  <c r="L12" i="24"/>
  <c r="J12" i="24"/>
  <c r="H12" i="24"/>
  <c r="L11" i="24"/>
  <c r="J11" i="24"/>
  <c r="H11" i="24"/>
  <c r="L10" i="24"/>
  <c r="J10" i="24"/>
  <c r="H10" i="24"/>
  <c r="L9" i="24"/>
  <c r="J9" i="24"/>
  <c r="H9" i="24"/>
  <c r="M18" i="25"/>
  <c r="K18" i="25"/>
  <c r="I18" i="25"/>
  <c r="M17" i="25"/>
  <c r="K17" i="25"/>
  <c r="I17" i="25"/>
  <c r="M16" i="25"/>
  <c r="K16" i="25"/>
  <c r="I16" i="25"/>
  <c r="M15" i="25"/>
  <c r="K15" i="25"/>
  <c r="I15" i="25"/>
  <c r="M12" i="25"/>
  <c r="K12" i="25"/>
  <c r="I12" i="25"/>
  <c r="M11" i="25"/>
  <c r="K11" i="25"/>
  <c r="I11" i="25"/>
  <c r="M10" i="25"/>
  <c r="K10" i="25"/>
  <c r="I10" i="25"/>
  <c r="M9" i="25"/>
  <c r="K9" i="25"/>
  <c r="I9" i="25"/>
  <c r="L18" i="25"/>
  <c r="J18" i="25"/>
  <c r="H18" i="25"/>
  <c r="L17" i="25"/>
  <c r="J17" i="25"/>
  <c r="H17" i="25"/>
  <c r="L16" i="25"/>
  <c r="J16" i="25"/>
  <c r="H16" i="25"/>
  <c r="L15" i="25"/>
  <c r="J15" i="25"/>
  <c r="H15" i="25"/>
  <c r="L12" i="25"/>
  <c r="J12" i="25"/>
  <c r="H12" i="25"/>
  <c r="L11" i="25"/>
  <c r="J11" i="25"/>
  <c r="H11" i="25"/>
  <c r="L10" i="25"/>
  <c r="J10" i="25"/>
  <c r="H10" i="25"/>
  <c r="L9" i="25"/>
  <c r="J9" i="25"/>
  <c r="H9" i="25"/>
  <c r="R24" i="25"/>
  <c r="P24" i="25"/>
  <c r="N24" i="25"/>
  <c r="L24" i="25"/>
  <c r="J24" i="25"/>
  <c r="H24" i="25"/>
  <c r="Q23" i="25"/>
  <c r="O23" i="25"/>
  <c r="M23" i="25"/>
  <c r="K23" i="25"/>
  <c r="I23" i="25"/>
  <c r="R22" i="25"/>
  <c r="P22" i="25"/>
  <c r="N22" i="25"/>
  <c r="L22" i="25"/>
  <c r="J22" i="25"/>
  <c r="H22" i="25"/>
  <c r="Q21" i="25"/>
  <c r="O21" i="25"/>
  <c r="M21" i="25"/>
  <c r="K21" i="25"/>
  <c r="I21" i="25"/>
  <c r="P18" i="25"/>
  <c r="N18" i="25"/>
  <c r="P17" i="25"/>
  <c r="N17" i="25"/>
  <c r="C17" i="25"/>
  <c r="P16" i="25"/>
  <c r="N16" i="25"/>
  <c r="Q15" i="25"/>
  <c r="O15" i="25"/>
  <c r="O12" i="25"/>
  <c r="N11" i="25"/>
  <c r="N10" i="25"/>
  <c r="O9" i="25"/>
  <c r="Q24" i="25"/>
  <c r="O24" i="25"/>
  <c r="M24" i="25"/>
  <c r="K24" i="25"/>
  <c r="I24" i="25"/>
  <c r="R23" i="25"/>
  <c r="P23" i="25"/>
  <c r="N23" i="25"/>
  <c r="L23" i="25"/>
  <c r="J23" i="25"/>
  <c r="H23" i="25"/>
  <c r="Q22" i="25"/>
  <c r="O22" i="25"/>
  <c r="M22" i="25"/>
  <c r="I22" i="25"/>
  <c r="P21" i="25"/>
  <c r="L21" i="25"/>
  <c r="H21" i="25"/>
  <c r="Q18" i="25"/>
  <c r="O17" i="25"/>
  <c r="Q16" i="25"/>
  <c r="N15" i="25"/>
  <c r="K22" i="25"/>
  <c r="R21" i="25"/>
  <c r="N21" i="25"/>
  <c r="J21" i="25"/>
  <c r="O18" i="25"/>
  <c r="Q17" i="25"/>
  <c r="O16" i="25"/>
  <c r="P15" i="25"/>
  <c r="N12" i="25"/>
  <c r="O11" i="25"/>
  <c r="O10" i="25"/>
  <c r="N9" i="25"/>
  <c r="R24" i="24"/>
  <c r="P24" i="24"/>
  <c r="N24" i="24"/>
  <c r="L24" i="24"/>
  <c r="J24" i="24"/>
  <c r="H24" i="24"/>
  <c r="Q23" i="24"/>
  <c r="O23" i="24"/>
  <c r="M23" i="24"/>
  <c r="K23" i="24"/>
  <c r="I23" i="24"/>
  <c r="R22" i="24"/>
  <c r="P22" i="24"/>
  <c r="N22" i="24"/>
  <c r="L22" i="24"/>
  <c r="J22" i="24"/>
  <c r="H22" i="24"/>
  <c r="Q21" i="24"/>
  <c r="O21" i="24"/>
  <c r="M21" i="24"/>
  <c r="K21" i="24"/>
  <c r="I21" i="24"/>
  <c r="P18" i="24"/>
  <c r="N18" i="24"/>
  <c r="P17" i="24"/>
  <c r="N17" i="24"/>
  <c r="C17" i="24"/>
  <c r="P16" i="24"/>
  <c r="N16" i="24"/>
  <c r="Q15" i="24"/>
  <c r="O15" i="24"/>
  <c r="O12" i="24"/>
  <c r="N11" i="24"/>
  <c r="N10" i="24"/>
  <c r="O9" i="24"/>
  <c r="Q24" i="24"/>
  <c r="O24" i="24"/>
  <c r="M24" i="24"/>
  <c r="K24" i="24"/>
  <c r="I24" i="24"/>
  <c r="R23" i="24"/>
  <c r="P23" i="24"/>
  <c r="N23" i="24"/>
  <c r="L23" i="24"/>
  <c r="J23" i="24"/>
  <c r="H23" i="24"/>
  <c r="Q22" i="24"/>
  <c r="O22" i="24"/>
  <c r="M22" i="24"/>
  <c r="K22" i="24"/>
  <c r="R21" i="24"/>
  <c r="N21" i="24"/>
  <c r="J21" i="24"/>
  <c r="O18" i="24"/>
  <c r="Q17" i="24"/>
  <c r="O16" i="24"/>
  <c r="P15" i="24"/>
  <c r="N12" i="24"/>
  <c r="O11" i="24"/>
  <c r="O10" i="24"/>
  <c r="N9" i="24"/>
  <c r="I22" i="24"/>
  <c r="P21" i="24"/>
  <c r="L21" i="24"/>
  <c r="H21" i="24"/>
  <c r="Q18" i="24"/>
  <c r="O17" i="24"/>
  <c r="Q16" i="24"/>
  <c r="N15" i="24"/>
  <c r="C2" i="17" l="1"/>
  <c r="Y2" i="17" s="1"/>
  <c r="F11" i="17"/>
  <c r="G16" i="17"/>
  <c r="F14" i="17"/>
  <c r="E14" i="17"/>
  <c r="C14" i="17"/>
  <c r="Y14" i="17" s="1"/>
  <c r="F13" i="17"/>
  <c r="E13" i="17"/>
  <c r="C13" i="17"/>
  <c r="Y13" i="17" s="1"/>
  <c r="F12" i="17"/>
  <c r="E12" i="17"/>
  <c r="C12" i="17"/>
  <c r="Y12" i="17" s="1"/>
  <c r="E11" i="17"/>
  <c r="C11" i="17"/>
  <c r="Y11" i="17" s="1"/>
  <c r="F10" i="17"/>
  <c r="E10" i="17"/>
  <c r="C10" i="17"/>
  <c r="Y10" i="17" s="1"/>
  <c r="F9" i="17"/>
  <c r="E9" i="17"/>
  <c r="C9" i="17"/>
  <c r="Y9" i="17" s="1"/>
  <c r="F8" i="17"/>
  <c r="E8" i="17"/>
  <c r="C8" i="17"/>
  <c r="Y8" i="17" s="1"/>
  <c r="F7" i="17"/>
  <c r="E7" i="17"/>
  <c r="Y7" i="17"/>
  <c r="F6" i="17"/>
  <c r="E6" i="17"/>
  <c r="C6" i="17"/>
  <c r="Y6" i="17" s="1"/>
  <c r="F5" i="17"/>
  <c r="E5" i="17"/>
  <c r="C5" i="17"/>
  <c r="Y5" i="17" s="1"/>
  <c r="F4" i="17"/>
  <c r="E4" i="17"/>
  <c r="C4" i="17"/>
  <c r="Y4" i="17" s="1"/>
  <c r="O3" i="17"/>
  <c r="F3" i="17"/>
  <c r="E3" i="17"/>
  <c r="C3" i="17"/>
  <c r="Y3" i="17" s="1"/>
  <c r="F2" i="17"/>
  <c r="E2" i="17"/>
  <c r="Y15" i="17" l="1"/>
  <c r="O2" i="17"/>
  <c r="C15" i="17" s="1"/>
  <c r="C16" i="17" s="1"/>
  <c r="K17" i="17" l="1"/>
  <c r="K11" i="17"/>
  <c r="K12" i="17"/>
  <c r="K9" i="17"/>
  <c r="C17" i="17"/>
  <c r="R24" i="17"/>
  <c r="P24" i="17"/>
  <c r="N24" i="17"/>
  <c r="L24" i="17"/>
  <c r="J24" i="17"/>
  <c r="H24" i="17"/>
  <c r="Q23" i="17"/>
  <c r="O23" i="17"/>
  <c r="M23" i="17"/>
  <c r="K23" i="17"/>
  <c r="I23" i="17"/>
  <c r="R22" i="17"/>
  <c r="P22" i="17"/>
  <c r="N22" i="17"/>
  <c r="L22" i="17"/>
  <c r="J22" i="17"/>
  <c r="H22" i="17"/>
  <c r="Q21" i="17"/>
  <c r="O21" i="17"/>
  <c r="M21" i="17"/>
  <c r="K21" i="17"/>
  <c r="I21" i="17"/>
  <c r="Q18" i="17"/>
  <c r="O18" i="17"/>
  <c r="M18" i="17"/>
  <c r="K18" i="17"/>
  <c r="I18" i="17"/>
  <c r="Q17" i="17"/>
  <c r="O17" i="17"/>
  <c r="M17" i="17"/>
  <c r="I17" i="17"/>
  <c r="Q16" i="17"/>
  <c r="O16" i="17"/>
  <c r="M16" i="17"/>
  <c r="K16" i="17"/>
  <c r="I16" i="17"/>
  <c r="P15" i="17"/>
  <c r="N15" i="17"/>
  <c r="L15" i="17"/>
  <c r="J15" i="17"/>
  <c r="H15" i="17"/>
  <c r="O12" i="17"/>
  <c r="M12" i="17"/>
  <c r="I12" i="17"/>
  <c r="O11" i="17"/>
  <c r="M11" i="17"/>
  <c r="I11" i="17"/>
  <c r="O10" i="17"/>
  <c r="M10" i="17"/>
  <c r="K10" i="17"/>
  <c r="I10" i="17"/>
  <c r="O9" i="17"/>
  <c r="M9" i="17"/>
  <c r="I9" i="17"/>
  <c r="Q24" i="17"/>
  <c r="O24" i="17"/>
  <c r="M24" i="17"/>
  <c r="K24" i="17"/>
  <c r="I24" i="17"/>
  <c r="R23" i="17"/>
  <c r="P23" i="17"/>
  <c r="N23" i="17"/>
  <c r="L23" i="17"/>
  <c r="J23" i="17"/>
  <c r="H23" i="17"/>
  <c r="Q22" i="17"/>
  <c r="O22" i="17"/>
  <c r="M22" i="17"/>
  <c r="K22" i="17"/>
  <c r="I22" i="17"/>
  <c r="R21" i="17"/>
  <c r="P21" i="17"/>
  <c r="N21" i="17"/>
  <c r="L21" i="17"/>
  <c r="J21" i="17"/>
  <c r="H21" i="17"/>
  <c r="P18" i="17"/>
  <c r="N18" i="17"/>
  <c r="L18" i="17"/>
  <c r="J18" i="17"/>
  <c r="P17" i="17"/>
  <c r="L17" i="17"/>
  <c r="H17" i="17"/>
  <c r="N16" i="17"/>
  <c r="J16" i="17"/>
  <c r="Q15" i="17"/>
  <c r="M15" i="17"/>
  <c r="I15" i="17"/>
  <c r="N12" i="17"/>
  <c r="J12" i="17"/>
  <c r="N11" i="17"/>
  <c r="J11" i="17"/>
  <c r="N10" i="17"/>
  <c r="J10" i="17"/>
  <c r="N9" i="17"/>
  <c r="J9" i="17"/>
  <c r="L9" i="17"/>
  <c r="H9" i="17"/>
  <c r="H18" i="17"/>
  <c r="N17" i="17"/>
  <c r="J17" i="17"/>
  <c r="P16" i="17"/>
  <c r="L16" i="17"/>
  <c r="H16" i="17"/>
  <c r="O15" i="17"/>
  <c r="K15" i="17"/>
  <c r="L12" i="17"/>
  <c r="H12" i="17"/>
  <c r="L11" i="17"/>
  <c r="H11" i="17"/>
  <c r="L10" i="17"/>
  <c r="H10" i="17"/>
</calcChain>
</file>

<file path=xl/sharedStrings.xml><?xml version="1.0" encoding="utf-8"?>
<sst xmlns="http://schemas.openxmlformats.org/spreadsheetml/2006/main" count="712" uniqueCount="206">
  <si>
    <t>GM</t>
  </si>
  <si>
    <t>IM</t>
  </si>
  <si>
    <t>WGM</t>
  </si>
  <si>
    <t>WIM</t>
  </si>
  <si>
    <t>7pts</t>
  </si>
  <si>
    <t>6.5pts</t>
  </si>
  <si>
    <t>6pts</t>
  </si>
  <si>
    <t>5.5pts</t>
  </si>
  <si>
    <t>Inflated Rating</t>
  </si>
  <si>
    <t>5pts</t>
  </si>
  <si>
    <t>Rating</t>
  </si>
  <si>
    <t>Score</t>
  </si>
  <si>
    <t>Name</t>
  </si>
  <si>
    <t>Rating Required 9 rounds</t>
  </si>
  <si>
    <t>Rating Required 10 rounds</t>
  </si>
  <si>
    <t xml:space="preserve"> </t>
  </si>
  <si>
    <t>Rating Required 11 rounds</t>
  </si>
  <si>
    <t>Nat</t>
  </si>
  <si>
    <t>PIN</t>
  </si>
  <si>
    <t>Adj</t>
  </si>
  <si>
    <t>nr</t>
  </si>
  <si>
    <t>nat</t>
  </si>
  <si>
    <t>T</t>
  </si>
  <si>
    <t>rat.</t>
  </si>
  <si>
    <t>IND</t>
  </si>
  <si>
    <t>USA</t>
  </si>
  <si>
    <t>ISR</t>
  </si>
  <si>
    <t>POL</t>
  </si>
  <si>
    <t>FM</t>
  </si>
  <si>
    <t>NGR</t>
  </si>
  <si>
    <t>Min Rating</t>
  </si>
  <si>
    <t>Actual</t>
  </si>
  <si>
    <t>Average</t>
  </si>
  <si>
    <t xml:space="preserve">Rating adjusted </t>
  </si>
  <si>
    <t>Title</t>
  </si>
  <si>
    <t>Title sought</t>
  </si>
  <si>
    <t>Rd</t>
  </si>
  <si>
    <t>total pts</t>
  </si>
  <si>
    <t>Total rating</t>
  </si>
  <si>
    <t>The last entry (nr 1000) must contain a space in each cell</t>
  </si>
  <si>
    <t>Instructions</t>
  </si>
  <si>
    <t>This is designed to help organisers/arbiters calculate what is required for a title norm.</t>
  </si>
  <si>
    <t>It is currently set up for 9, 10 or 11 round events.</t>
  </si>
  <si>
    <t>On the players sheet the information can be entered from the excel output of any pairing program.</t>
  </si>
  <si>
    <t>It must be pasted in in the order given.</t>
  </si>
  <si>
    <t>At the end of the list of players an additional one should be added with nr 1000.  Blank spaces should be inserted in the other cells across.</t>
  </si>
  <si>
    <t>After 7 or 8 rounds you can start to use the spreadsheet.</t>
  </si>
  <si>
    <t>Go to on of the Seeker sheets which can be renamed with an abreviation for the norm seeker.</t>
  </si>
  <si>
    <t>In cell M1 select from the drop down menu the appropriate norm.</t>
  </si>
  <si>
    <t>Enter the pin numbers of the opponents.  The opponents  details should then appear.</t>
  </si>
  <si>
    <t>Results will need to be added as 1, 0.5 or 0.</t>
  </si>
  <si>
    <t>The players total score appears in cell G16</t>
  </si>
  <si>
    <t>The opponents' total rating and adjusted average appears in cells C16 and C17 respectively.</t>
  </si>
  <si>
    <t xml:space="preserve">Unrated players will appear as 1000.  An adjustment may appear in C15 if a player is below the title threshold rating. </t>
  </si>
  <si>
    <t>In the above example we can see that the player has scored 6 points and is looking for a GM norm.</t>
  </si>
  <si>
    <t>In a 9 round tournament he would require to score 6.5 with a 2588.5 opponent or 7 with a 2102.5 opponent.</t>
  </si>
  <si>
    <t>In a 10 round tournament he would need to score 6.5 against two opponents with a total rating of 5582, 7 points against two opponents with a total rating of 5192, etc</t>
  </si>
  <si>
    <t>In the above example the player is looking for a WIM norm.  She has already scored 6 points.</t>
  </si>
  <si>
    <t>Cell I12 shows -118.5.  This means, as it is negative, that regardless of the opponent she has achieved the norm.</t>
  </si>
  <si>
    <t>For a WGM norm (in this case no information will change if WGM is entered as the title sought) she would require to play against a 1231.5 rated player for a 9 round norm.</t>
  </si>
  <si>
    <t xml:space="preserve">For a 10 round WGM norm she would need to play players totalling 4036.  If she gets a draw in either of the next two rounds she needs opposition totalling 4036. </t>
  </si>
  <si>
    <t>One point in the next two rounds would mean the total of the two opponents would only need to be 3266.</t>
  </si>
  <si>
    <t>pin</t>
  </si>
  <si>
    <t>Norm Seeker</t>
  </si>
  <si>
    <t xml:space="preserve">   </t>
  </si>
  <si>
    <t>gm</t>
  </si>
  <si>
    <t>ENG</t>
  </si>
  <si>
    <t>NED</t>
  </si>
  <si>
    <t>MGL</t>
  </si>
  <si>
    <t>BRA</t>
  </si>
  <si>
    <t>AUT</t>
  </si>
  <si>
    <t>FRA</t>
  </si>
  <si>
    <t>SUI</t>
  </si>
  <si>
    <t>CHN</t>
  </si>
  <si>
    <t>UZB</t>
  </si>
  <si>
    <t>ISL</t>
  </si>
  <si>
    <t>HUN</t>
  </si>
  <si>
    <t>0 *</t>
  </si>
  <si>
    <t>SCO</t>
  </si>
  <si>
    <t>CZE</t>
  </si>
  <si>
    <t>GER</t>
  </si>
  <si>
    <t>UKR</t>
  </si>
  <si>
    <t>NOR</t>
  </si>
  <si>
    <t>WFM</t>
  </si>
  <si>
    <t>WLS</t>
  </si>
  <si>
    <t>BEL</t>
  </si>
  <si>
    <t>SIN</t>
  </si>
  <si>
    <t>LTU</t>
  </si>
  <si>
    <t>NZL</t>
  </si>
  <si>
    <t>SRI</t>
  </si>
  <si>
    <t>1460 *</t>
  </si>
  <si>
    <t>Pin</t>
  </si>
  <si>
    <t>im</t>
  </si>
  <si>
    <t>wgm</t>
  </si>
  <si>
    <t>gourley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</si>
  <si>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</si>
  <si>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</si>
  <si>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</si>
  <si>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</si>
  <si>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</si>
  <si>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</si>
  <si>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</si>
  <si>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</si>
  <si>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</si>
  <si>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</si>
  <si>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</si>
  <si>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</si>
  <si>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</si>
  <si>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</si>
  <si>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</si>
  <si>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</si>
  <si>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Player 17</t>
  </si>
  <si>
    <t>Player 18</t>
  </si>
  <si>
    <t>Player 19</t>
  </si>
  <si>
    <t>Player 20</t>
  </si>
  <si>
    <t>Player 21</t>
  </si>
  <si>
    <t>Player 22</t>
  </si>
  <si>
    <t>Player 23</t>
  </si>
  <si>
    <t>Player 24</t>
  </si>
  <si>
    <t>Player 25</t>
  </si>
  <si>
    <t>Player 26</t>
  </si>
  <si>
    <t>Player 27</t>
  </si>
  <si>
    <t>Player 28</t>
  </si>
  <si>
    <t>Player 29</t>
  </si>
  <si>
    <t>Player 30</t>
  </si>
  <si>
    <t>Player 31</t>
  </si>
  <si>
    <t>Player 32</t>
  </si>
  <si>
    <t>Player 33</t>
  </si>
  <si>
    <t>Player 34</t>
  </si>
  <si>
    <t>Player 35</t>
  </si>
  <si>
    <t>Player 36</t>
  </si>
  <si>
    <t>Player 37</t>
  </si>
  <si>
    <t>Player 38</t>
  </si>
  <si>
    <t>Player 39</t>
  </si>
  <si>
    <t>Player 40</t>
  </si>
  <si>
    <t>Player 41</t>
  </si>
  <si>
    <t>Player 42</t>
  </si>
  <si>
    <t>Player 43</t>
  </si>
  <si>
    <t>Player 44</t>
  </si>
  <si>
    <t>Player 45</t>
  </si>
  <si>
    <t>Player 46</t>
  </si>
  <si>
    <t>Player 47</t>
  </si>
  <si>
    <t>Player 48</t>
  </si>
  <si>
    <t>Player 49</t>
  </si>
  <si>
    <t>Player 50</t>
  </si>
  <si>
    <t>Player 51</t>
  </si>
  <si>
    <t>Player 52</t>
  </si>
  <si>
    <t>Player 53</t>
  </si>
  <si>
    <t>Player 54</t>
  </si>
  <si>
    <t>Player 55</t>
  </si>
  <si>
    <t>Player 56</t>
  </si>
  <si>
    <t>Player 57</t>
  </si>
  <si>
    <t>Player 58</t>
  </si>
  <si>
    <t>Player 59</t>
  </si>
  <si>
    <t>Player 60</t>
  </si>
  <si>
    <t>Player 61</t>
  </si>
  <si>
    <t>Player 62</t>
  </si>
  <si>
    <t>Player 63</t>
  </si>
  <si>
    <t>Player 64</t>
  </si>
  <si>
    <t>Player 65</t>
  </si>
  <si>
    <t>Player 66</t>
  </si>
  <si>
    <t>Player 67</t>
  </si>
  <si>
    <t>Player 68</t>
  </si>
  <si>
    <t>Player 69</t>
  </si>
  <si>
    <t>Player 70</t>
  </si>
  <si>
    <t>Player 71</t>
  </si>
  <si>
    <t>Player 72</t>
  </si>
  <si>
    <t>Player 73</t>
  </si>
  <si>
    <t>Player 74</t>
  </si>
  <si>
    <t>Player 75</t>
  </si>
  <si>
    <t>Player 76</t>
  </si>
  <si>
    <t>Player 77</t>
  </si>
  <si>
    <t>Player 78</t>
  </si>
  <si>
    <t>Player 79</t>
  </si>
  <si>
    <t>Player 80</t>
  </si>
  <si>
    <t>Player 81</t>
  </si>
  <si>
    <t>Player 82</t>
  </si>
  <si>
    <t>Player 83</t>
  </si>
  <si>
    <t>Player 84</t>
  </si>
  <si>
    <t>Player 85</t>
  </si>
  <si>
    <t>Player 86</t>
  </si>
  <si>
    <t>Player 87</t>
  </si>
  <si>
    <t>Player 88</t>
  </si>
  <si>
    <t>Player 89</t>
  </si>
  <si>
    <t>Player 90</t>
  </si>
  <si>
    <t>Player 91</t>
  </si>
  <si>
    <t>Player 92</t>
  </si>
  <si>
    <t>Player 93</t>
  </si>
  <si>
    <t>Player 94</t>
  </si>
  <si>
    <t>Player 95</t>
  </si>
  <si>
    <t>Player 96</t>
  </si>
  <si>
    <t>Player 97</t>
  </si>
  <si>
    <t>Player 98</t>
  </si>
  <si>
    <t>Player 99</t>
  </si>
  <si>
    <t>Player 100</t>
  </si>
  <si>
    <t>Player 101</t>
  </si>
  <si>
    <t>Player 102</t>
  </si>
  <si>
    <t>Player 103</t>
  </si>
  <si>
    <t>Player 104</t>
  </si>
  <si>
    <t>Player 105</t>
  </si>
  <si>
    <t>Player 106</t>
  </si>
  <si>
    <t>Player 107</t>
  </si>
  <si>
    <t>Player 108</t>
  </si>
  <si>
    <t>Player 109</t>
  </si>
  <si>
    <t>Player 110</t>
  </si>
  <si>
    <t>Player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</si>
</sst>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Tw Cen MT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FF6E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86">
    <xf numFmtId="0" fontId="0" fillId="0" borderId="0" xfId="0"/>
    <xf numFmtId="0" fontId="1" fillId="0" borderId="0" xfId="0" applyFont="1" applyAlignment="1">
      <alignment vertical="center" wrapText="1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4" borderId="2" xfId="0" applyFont="1" applyFill="1" applyBorder="1" applyAlignment="1">
      <alignment horizontal="center"/>
    </xf>
    <xf numFmtId="0" fontId="4" fillId="0" borderId="10" xfId="1" applyFill="1" applyBorder="1"/>
    <xf numFmtId="0" fontId="4" fillId="0" borderId="11" xfId="1" applyFill="1" applyBorder="1"/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wrapText="1"/>
    </xf>
    <xf numFmtId="0" fontId="2" fillId="4" borderId="22" xfId="0" applyFont="1" applyFill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/>
    <xf numFmtId="0" fontId="3" fillId="4" borderId="20" xfId="0" applyFont="1" applyFill="1" applyBorder="1"/>
    <xf numFmtId="0" fontId="0" fillId="0" borderId="21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2" borderId="20" xfId="0" applyFont="1" applyFill="1" applyBorder="1"/>
    <xf numFmtId="0" fontId="3" fillId="2" borderId="26" xfId="0" applyFont="1" applyFill="1" applyBorder="1"/>
    <xf numFmtId="0" fontId="5" fillId="0" borderId="11" xfId="1" applyFont="1" applyFill="1" applyBorder="1" applyAlignment="1">
      <alignment horizontal="left"/>
    </xf>
    <xf numFmtId="0" fontId="6" fillId="5" borderId="18" xfId="0" applyFont="1" applyFill="1" applyBorder="1" applyAlignment="1">
      <alignment horizontal="center"/>
    </xf>
    <xf numFmtId="0" fontId="3" fillId="0" borderId="16" xfId="0" applyFont="1" applyBorder="1"/>
    <xf numFmtId="0" fontId="0" fillId="0" borderId="8" xfId="0" applyBorder="1"/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3" fillId="0" borderId="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0" fontId="8" fillId="6" borderId="31" xfId="0" applyFont="1" applyFill="1" applyBorder="1" applyAlignment="1">
      <alignment horizontal="right" wrapText="1" readingOrder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9" fillId="0" borderId="1" xfId="2" applyBorder="1"/>
    <xf numFmtId="0" fontId="9" fillId="0" borderId="1" xfId="2" applyBorder="1" applyAlignment="1">
      <alignment horizontal="center"/>
    </xf>
    <xf numFmtId="1" fontId="9" fillId="0" borderId="1" xfId="2" applyNumberFormat="1" applyBorder="1"/>
    <xf numFmtId="0" fontId="9" fillId="0" borderId="10" xfId="2" applyFill="1" applyBorder="1"/>
    <xf numFmtId="0" fontId="9" fillId="0" borderId="11" xfId="2" applyFill="1" applyBorder="1"/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0" fillId="0" borderId="0" xfId="0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17</xdr:col>
      <xdr:colOff>227276</xdr:colOff>
      <xdr:row>38</xdr:row>
      <xdr:rowOff>66143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0"/>
          <a:ext cx="10590476" cy="4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17</xdr:col>
      <xdr:colOff>198705</xdr:colOff>
      <xdr:row>66</xdr:row>
      <xdr:rowOff>18524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401050"/>
          <a:ext cx="10561905" cy="42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"/>
  <sheetViews>
    <sheetView topLeftCell="A42" workbookViewId="0">
      <selection activeCell="A72" sqref="A72"/>
    </sheetView>
  </sheetViews>
  <sheetFormatPr defaultRowHeight="15" x14ac:dyDescent="0.25"/>
  <sheetData>
    <row r="1" spans="1:18" x14ac:dyDescent="0.25">
      <c r="A1" t="s">
        <v>40</v>
      </c>
    </row>
    <row r="2" spans="1:18" x14ac:dyDescent="0.25">
      <c r="A2" t="s">
        <v>41</v>
      </c>
    </row>
    <row r="3" spans="1:18" x14ac:dyDescent="0.25">
      <c r="A3" t="s">
        <v>42</v>
      </c>
    </row>
    <row r="4" spans="1:18" x14ac:dyDescent="0.25">
      <c r="A4" t="s">
        <v>43</v>
      </c>
    </row>
    <row r="5" spans="1:18" x14ac:dyDescent="0.25">
      <c r="A5" t="s">
        <v>44</v>
      </c>
    </row>
    <row r="6" spans="1:18" x14ac:dyDescent="0.25">
      <c r="A6" t="s">
        <v>45</v>
      </c>
    </row>
    <row r="8" spans="1:18" x14ac:dyDescent="0.25">
      <c r="A8" t="s">
        <v>46</v>
      </c>
    </row>
    <row r="9" spans="1:18" x14ac:dyDescent="0.25">
      <c r="A9" t="s">
        <v>47</v>
      </c>
    </row>
    <row r="10" spans="1:18" x14ac:dyDescent="0.25">
      <c r="A10" t="s">
        <v>48</v>
      </c>
    </row>
    <row r="11" spans="1:18" x14ac:dyDescent="0.25">
      <c r="A11" t="s">
        <v>49</v>
      </c>
    </row>
    <row r="12" spans="1:18" x14ac:dyDescent="0.25">
      <c r="A12" t="s">
        <v>50</v>
      </c>
    </row>
    <row r="13" spans="1:18" x14ac:dyDescent="0.25">
      <c r="A13" t="s">
        <v>51</v>
      </c>
    </row>
    <row r="14" spans="1:18" x14ac:dyDescent="0.25">
      <c r="A14" t="s">
        <v>52</v>
      </c>
    </row>
    <row r="15" spans="1:18" ht="15.75" thickBot="1" x14ac:dyDescent="0.3">
      <c r="A15" t="s">
        <v>53</v>
      </c>
    </row>
    <row r="16" spans="1:18" x14ac:dyDescent="0.25">
      <c r="A16" s="5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x14ac:dyDescent="0.2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38"/>
    </row>
    <row r="18" spans="1:18" x14ac:dyDescent="0.2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38"/>
    </row>
    <row r="19" spans="1:18" x14ac:dyDescent="0.2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38"/>
    </row>
    <row r="20" spans="1:18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38"/>
    </row>
    <row r="21" spans="1:18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38"/>
    </row>
    <row r="22" spans="1:18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38"/>
    </row>
    <row r="23" spans="1:18" x14ac:dyDescent="0.2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38"/>
    </row>
    <row r="24" spans="1:18" x14ac:dyDescent="0.2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38"/>
    </row>
    <row r="25" spans="1:18" x14ac:dyDescent="0.2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38"/>
    </row>
    <row r="26" spans="1:18" x14ac:dyDescent="0.25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38"/>
    </row>
    <row r="27" spans="1:18" x14ac:dyDescent="0.25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38"/>
    </row>
    <row r="28" spans="1:18" x14ac:dyDescent="0.2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38"/>
    </row>
    <row r="29" spans="1:18" x14ac:dyDescent="0.2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38"/>
    </row>
    <row r="30" spans="1:18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38"/>
    </row>
    <row r="31" spans="1:18" x14ac:dyDescent="0.2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38"/>
    </row>
    <row r="32" spans="1:18" x14ac:dyDescent="0.2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38"/>
    </row>
    <row r="33" spans="1:18" x14ac:dyDescent="0.2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38"/>
    </row>
    <row r="34" spans="1:18" x14ac:dyDescent="0.2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38"/>
    </row>
    <row r="35" spans="1:18" x14ac:dyDescent="0.2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38"/>
    </row>
    <row r="36" spans="1:18" x14ac:dyDescent="0.2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38"/>
    </row>
    <row r="37" spans="1:18" x14ac:dyDescent="0.2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38"/>
    </row>
    <row r="38" spans="1:18" x14ac:dyDescent="0.2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38"/>
    </row>
    <row r="39" spans="1:18" ht="15.75" thickBot="1" x14ac:dyDescent="0.3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6"/>
    </row>
    <row r="41" spans="1:18" x14ac:dyDescent="0.25">
      <c r="A41" t="s">
        <v>54</v>
      </c>
    </row>
    <row r="42" spans="1:18" x14ac:dyDescent="0.25">
      <c r="A42" t="s">
        <v>55</v>
      </c>
    </row>
    <row r="43" spans="1:18" ht="15.75" thickBot="1" x14ac:dyDescent="0.3">
      <c r="A43" t="s">
        <v>56</v>
      </c>
    </row>
    <row r="44" spans="1:18" x14ac:dyDescent="0.25">
      <c r="A44" s="5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9"/>
    </row>
    <row r="45" spans="1:18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38"/>
    </row>
    <row r="46" spans="1:18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38"/>
    </row>
    <row r="47" spans="1:18" x14ac:dyDescent="0.25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38"/>
    </row>
    <row r="48" spans="1:18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38"/>
    </row>
    <row r="49" spans="1:18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38"/>
    </row>
    <row r="50" spans="1:18" x14ac:dyDescent="0.2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38"/>
    </row>
    <row r="51" spans="1:18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38"/>
    </row>
    <row r="52" spans="1:18" x14ac:dyDescent="0.2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38"/>
    </row>
    <row r="53" spans="1:18" x14ac:dyDescent="0.2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38"/>
    </row>
    <row r="54" spans="1:18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38"/>
    </row>
    <row r="55" spans="1:18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38"/>
    </row>
    <row r="56" spans="1:18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38"/>
    </row>
    <row r="57" spans="1:18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38"/>
    </row>
    <row r="58" spans="1:18" x14ac:dyDescent="0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38"/>
    </row>
    <row r="59" spans="1:18" x14ac:dyDescent="0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38"/>
    </row>
    <row r="60" spans="1:18" x14ac:dyDescent="0.2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38"/>
    </row>
    <row r="61" spans="1:18" x14ac:dyDescent="0.2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38"/>
    </row>
    <row r="62" spans="1:18" x14ac:dyDescent="0.2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38"/>
    </row>
    <row r="63" spans="1:18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38"/>
    </row>
    <row r="64" spans="1:18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38"/>
    </row>
    <row r="65" spans="1:18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38"/>
    </row>
    <row r="66" spans="1:18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38"/>
    </row>
    <row r="67" spans="1:18" ht="15.75" thickBot="1" x14ac:dyDescent="0.3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spans="1:18" x14ac:dyDescent="0.25">
      <c r="A68" t="s">
        <v>57</v>
      </c>
    </row>
    <row r="69" spans="1:18" x14ac:dyDescent="0.25">
      <c r="A69" t="s">
        <v>58</v>
      </c>
    </row>
    <row r="70" spans="1:18" x14ac:dyDescent="0.25">
      <c r="A70" t="s">
        <v>59</v>
      </c>
    </row>
    <row r="71" spans="1:18" x14ac:dyDescent="0.25">
      <c r="A71" t="s">
        <v>60</v>
      </c>
    </row>
    <row r="72" spans="1:18" x14ac:dyDescent="0.25">
      <c r="A72" t="s">
        <v>61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33"/>
  <sheetViews>
    <sheetView zoomScale="78" zoomScaleNormal="78" workbookViewId="0">
      <selection activeCell="D13" sqref="D13"/>
    </sheetView>
  </sheetViews>
  <sheetFormatPr defaultRowHeight="15" x14ac:dyDescent="0.25"/>
  <cols>
    <col min="1" max="1" width="3.85546875" style="10" customWidth="1"/>
    <col min="2" max="2" width="5.5703125" bestFit="1" customWidth="1"/>
    <col min="8" max="13" width="7.7109375" bestFit="1" customWidth="1"/>
    <col min="15" max="18" width="7" bestFit="1" customWidth="1"/>
  </cols>
  <sheetData>
    <row r="1" spans="1:25" ht="30.75" thickBot="1" x14ac:dyDescent="0.3">
      <c r="A1" s="62" t="s">
        <v>36</v>
      </c>
      <c r="B1" s="43" t="s">
        <v>18</v>
      </c>
      <c r="C1" s="43" t="s">
        <v>10</v>
      </c>
      <c r="D1" s="43" t="s">
        <v>31</v>
      </c>
      <c r="E1" s="43" t="s">
        <v>17</v>
      </c>
      <c r="F1" s="43" t="s">
        <v>34</v>
      </c>
      <c r="G1" s="43" t="s">
        <v>11</v>
      </c>
      <c r="H1" s="41"/>
      <c r="I1" s="82" t="s">
        <v>8</v>
      </c>
      <c r="J1" s="82"/>
      <c r="K1" s="43"/>
      <c r="L1" s="44" t="s">
        <v>35</v>
      </c>
      <c r="M1" s="43" t="s">
        <v>1</v>
      </c>
    </row>
    <row r="2" spans="1:25" ht="21" customHeight="1" thickBot="1" x14ac:dyDescent="0.3">
      <c r="A2" s="10">
        <v>1</v>
      </c>
      <c r="B2">
        <v>24</v>
      </c>
      <c r="C2">
        <f>IF(D2=0,1000,D2)</f>
        <v>2345</v>
      </c>
      <c r="D2">
        <f>LOOKUP(B2,Data!$A$2:$A$174,Data!$E$2:$E$174)</f>
        <v>2345</v>
      </c>
      <c r="E2" t="str">
        <f>LOOKUP(B2,Data!$A$2:$A$174,Data!$C$2:$C$174)</f>
        <v>SCO</v>
      </c>
      <c r="F2" t="str">
        <f>LOOKUP(B2,Data!$A$2:$A$174,Data!$D$2:$D$174)</f>
        <v>IM</v>
      </c>
      <c r="G2">
        <v>1</v>
      </c>
      <c r="H2" s="42"/>
      <c r="I2" s="1" t="s">
        <v>0</v>
      </c>
      <c r="J2" s="1">
        <v>2200</v>
      </c>
      <c r="N2" s="23" t="s">
        <v>30</v>
      </c>
      <c r="O2" s="24">
        <f>MIN(C2:C14)</f>
        <v>1831</v>
      </c>
      <c r="P2" s="16"/>
      <c r="Q2" s="16"/>
      <c r="R2" s="16"/>
      <c r="S2" s="60">
        <v>2238</v>
      </c>
      <c r="Y2">
        <f>IF(C2=" ",0,1)</f>
        <v>1</v>
      </c>
    </row>
    <row r="3" spans="1:25" ht="21.75" thickBot="1" x14ac:dyDescent="0.3">
      <c r="A3" s="10">
        <v>2</v>
      </c>
      <c r="B3">
        <v>10</v>
      </c>
      <c r="C3">
        <f t="shared" ref="C3:C14" si="0">IF(D3=0,1000,D3)</f>
        <v>2523</v>
      </c>
      <c r="D3">
        <f>LOOKUP(B3,Data!$A$2:$A$174,Data!$E$2:$E$174)</f>
        <v>2523</v>
      </c>
      <c r="E3" t="str">
        <f>LOOKUP(B3,Data!$A$2:$A$174,Data!$C$2:$C$174)</f>
        <v>ENG</v>
      </c>
      <c r="F3" t="str">
        <f>LOOKUP(B3,Data!$A$2:$A$174,Data!$D$2:$D$174)</f>
        <v>GM</v>
      </c>
      <c r="G3">
        <v>0</v>
      </c>
      <c r="I3" s="1" t="s">
        <v>1</v>
      </c>
      <c r="J3" s="1">
        <v>2050</v>
      </c>
      <c r="N3" s="25" t="s">
        <v>33</v>
      </c>
      <c r="O3" s="26">
        <f>IF(M1="GM",J2,IF(M1="IM",J3,IF(M1="WGM",J4,J5)))</f>
        <v>2050</v>
      </c>
      <c r="P3" s="17"/>
      <c r="Q3" s="17"/>
      <c r="R3" s="17"/>
      <c r="S3" s="60">
        <v>2462</v>
      </c>
      <c r="Y3">
        <f t="shared" ref="Y3:Y14" si="1">IF(C3=" ",0,1)</f>
        <v>1</v>
      </c>
    </row>
    <row r="4" spans="1:25" ht="15.75" thickBot="1" x14ac:dyDescent="0.3">
      <c r="A4" s="10">
        <v>3</v>
      </c>
      <c r="B4">
        <v>94</v>
      </c>
      <c r="C4">
        <f t="shared" si="0"/>
        <v>1831</v>
      </c>
      <c r="D4">
        <f>LOOKUP(B4,Data!$A$2:$A$174,Data!$E$2:$E$174)</f>
        <v>1831</v>
      </c>
      <c r="E4" t="str">
        <f>LOOKUP(B4,Data!$A$2:$A$174,Data!$C$2:$C$174)</f>
        <v>NOR</v>
      </c>
      <c r="F4">
        <f>LOOKUP(B4,Data!$A$2:$A$174,Data!$D$2:$D$174)</f>
        <v>0</v>
      </c>
      <c r="G4">
        <v>1</v>
      </c>
      <c r="I4" s="1" t="s">
        <v>2</v>
      </c>
      <c r="J4" s="1">
        <v>2000</v>
      </c>
      <c r="N4" s="17"/>
      <c r="O4" s="17"/>
      <c r="P4" s="17"/>
      <c r="Q4" s="17"/>
      <c r="R4" s="17"/>
      <c r="S4" s="60">
        <v>2552</v>
      </c>
      <c r="Y4">
        <f t="shared" si="1"/>
        <v>1</v>
      </c>
    </row>
    <row r="5" spans="1:25" ht="15.75" thickBot="1" x14ac:dyDescent="0.3">
      <c r="A5" s="10">
        <v>4</v>
      </c>
      <c r="B5">
        <v>22</v>
      </c>
      <c r="C5">
        <f t="shared" si="0"/>
        <v>2356</v>
      </c>
      <c r="D5">
        <f>LOOKUP(B5,Data!$A$2:$A$174,Data!$E$2:$E$174)</f>
        <v>2356</v>
      </c>
      <c r="E5" t="str">
        <f>LOOKUP(B5,Data!$A$2:$A$174,Data!$C$2:$C$174)</f>
        <v>ENG</v>
      </c>
      <c r="F5" t="str">
        <f>LOOKUP(B5,Data!$A$2:$A$174,Data!$D$2:$D$174)</f>
        <v>FM</v>
      </c>
      <c r="G5">
        <v>0.5</v>
      </c>
      <c r="I5" s="1" t="s">
        <v>3</v>
      </c>
      <c r="J5" s="1">
        <v>1850</v>
      </c>
      <c r="N5" s="17"/>
      <c r="O5" s="17"/>
      <c r="P5" s="17"/>
      <c r="Q5" s="17"/>
      <c r="R5" s="17"/>
      <c r="S5" s="60">
        <v>1800</v>
      </c>
      <c r="Y5">
        <f t="shared" si="1"/>
        <v>1</v>
      </c>
    </row>
    <row r="6" spans="1:25" ht="15.75" thickBot="1" x14ac:dyDescent="0.3">
      <c r="A6" s="10">
        <v>5</v>
      </c>
      <c r="B6">
        <v>21</v>
      </c>
      <c r="C6">
        <f t="shared" si="0"/>
        <v>2365</v>
      </c>
      <c r="D6">
        <f>LOOKUP(B6,Data!$A$2:$A$174,Data!$E$2:$E$174)</f>
        <v>2365</v>
      </c>
      <c r="E6" t="str">
        <f>LOOKUP(B6,Data!$A$2:$A$174,Data!$C$2:$C$174)</f>
        <v>ENG</v>
      </c>
      <c r="F6" t="str">
        <f>LOOKUP(B6,Data!$A$2:$A$174,Data!$D$2:$D$174)</f>
        <v>FM</v>
      </c>
      <c r="G6">
        <v>0</v>
      </c>
      <c r="N6" s="17"/>
      <c r="O6" s="17"/>
      <c r="P6" s="17"/>
      <c r="Q6" s="17"/>
      <c r="R6" s="17"/>
      <c r="S6" s="60">
        <v>2502</v>
      </c>
      <c r="Y6">
        <f t="shared" si="1"/>
        <v>1</v>
      </c>
    </row>
    <row r="7" spans="1:25" ht="15.75" thickBot="1" x14ac:dyDescent="0.3">
      <c r="A7" s="10">
        <v>6</v>
      </c>
      <c r="B7">
        <v>68</v>
      </c>
      <c r="C7">
        <f t="shared" si="0"/>
        <v>2010</v>
      </c>
      <c r="D7">
        <f>LOOKUP(B7,Data!$A$2:$A$174,Data!$E$2:$E$174)</f>
        <v>2010</v>
      </c>
      <c r="E7" t="str">
        <f>LOOKUP(B7,Data!$A$2:$A$174,Data!$C$2:$C$174)</f>
        <v>NOR</v>
      </c>
      <c r="F7">
        <f>LOOKUP(B7,Data!$A$2:$A$174,Data!$D$2:$D$174)</f>
        <v>0</v>
      </c>
      <c r="G7">
        <v>1</v>
      </c>
      <c r="H7" s="83" t="s">
        <v>13</v>
      </c>
      <c r="I7" s="84"/>
      <c r="J7" s="84"/>
      <c r="K7" s="84"/>
      <c r="L7" s="84"/>
      <c r="M7" s="84"/>
      <c r="N7" s="27"/>
      <c r="O7" s="27"/>
      <c r="P7" s="28"/>
      <c r="Q7" s="17"/>
      <c r="R7" s="17"/>
      <c r="S7" s="60">
        <v>2314</v>
      </c>
      <c r="Y7">
        <f t="shared" si="1"/>
        <v>1</v>
      </c>
    </row>
    <row r="8" spans="1:25" ht="15.75" thickBot="1" x14ac:dyDescent="0.3">
      <c r="A8" s="10">
        <v>7</v>
      </c>
      <c r="B8">
        <v>27</v>
      </c>
      <c r="C8">
        <f t="shared" si="0"/>
        <v>2338</v>
      </c>
      <c r="D8">
        <f>LOOKUP(B8,Data!$A$2:$A$174,Data!$E$2:$E$174)</f>
        <v>2338</v>
      </c>
      <c r="E8" t="str">
        <f>LOOKUP(B8,Data!$A$2:$A$174,Data!$C$2:$C$174)</f>
        <v>ENG</v>
      </c>
      <c r="F8" t="str">
        <f>LOOKUP(B8,Data!$A$2:$A$174,Data!$D$2:$D$174)</f>
        <v>IM</v>
      </c>
      <c r="G8">
        <v>0.5</v>
      </c>
      <c r="H8" s="29" t="s">
        <v>4</v>
      </c>
      <c r="I8" s="34" t="s">
        <v>5</v>
      </c>
      <c r="J8" s="30" t="s">
        <v>6</v>
      </c>
      <c r="K8" s="34" t="s">
        <v>7</v>
      </c>
      <c r="L8" s="30" t="s">
        <v>9</v>
      </c>
      <c r="M8" s="35">
        <v>4.5</v>
      </c>
      <c r="N8" s="31">
        <v>4</v>
      </c>
      <c r="O8" s="32">
        <v>3.5</v>
      </c>
      <c r="P8" s="33"/>
      <c r="Q8" s="17"/>
      <c r="R8" s="17"/>
      <c r="S8" s="60">
        <v>2448</v>
      </c>
      <c r="Y8">
        <f t="shared" si="1"/>
        <v>1</v>
      </c>
    </row>
    <row r="9" spans="1:25" ht="15.75" thickBot="1" x14ac:dyDescent="0.3">
      <c r="A9" s="10">
        <v>8</v>
      </c>
      <c r="B9">
        <v>26</v>
      </c>
      <c r="C9">
        <f t="shared" si="0"/>
        <v>2339</v>
      </c>
      <c r="D9">
        <f>LOOKUP(B9,Data!$A$2:$A$174,Data!$E$2:$E$174)</f>
        <v>2339</v>
      </c>
      <c r="E9" t="str">
        <f>LOOKUP(B9,Data!$A$2:$A$174,Data!$C$2:$C$174)</f>
        <v>ENG</v>
      </c>
      <c r="F9" t="str">
        <f>LOOKUP(B9,Data!$A$2:$A$174,Data!$D$2:$D$174)</f>
        <v>FM</v>
      </c>
      <c r="G9" t="s">
        <v>15</v>
      </c>
      <c r="H9" s="4">
        <f>9*2379.5-$C$16</f>
        <v>3089.5</v>
      </c>
      <c r="I9" s="21">
        <f>9*2433.5-$C$16</f>
        <v>3575.5</v>
      </c>
      <c r="J9" s="5">
        <f>9*2474.5-$C$16</f>
        <v>3944.5</v>
      </c>
      <c r="K9" s="69">
        <f>9*2519.5-$C$16</f>
        <v>4349.5</v>
      </c>
      <c r="L9" s="5">
        <f>9*2556.5-$C$16</f>
        <v>4682.5</v>
      </c>
      <c r="M9" s="21">
        <f>9*2599.5-$C$16</f>
        <v>5069.5</v>
      </c>
      <c r="N9" s="5">
        <f>9*2642.5-$C$16</f>
        <v>5456.5</v>
      </c>
      <c r="O9" s="21">
        <f>9*2679.5-$C$16</f>
        <v>5789.5</v>
      </c>
      <c r="P9" s="2" t="s">
        <v>0</v>
      </c>
      <c r="Q9" s="17"/>
      <c r="R9" s="17"/>
      <c r="S9" s="60">
        <v>2597</v>
      </c>
      <c r="Y9">
        <f t="shared" si="1"/>
        <v>1</v>
      </c>
    </row>
    <row r="10" spans="1:25" ht="15.75" thickBot="1" x14ac:dyDescent="0.3">
      <c r="A10" s="10">
        <v>9</v>
      </c>
      <c r="B10">
        <v>1000</v>
      </c>
      <c r="C10" t="str">
        <f t="shared" si="0"/>
        <v xml:space="preserve"> </v>
      </c>
      <c r="D10" t="str">
        <f>LOOKUP(B10,Data!$A$2:$A$174,Data!$E$2:$E$174)</f>
        <v xml:space="preserve"> </v>
      </c>
      <c r="E10" t="str">
        <f>LOOKUP(B10,Data!$A$2:$A$174,Data!$C$2:$C$174)</f>
        <v xml:space="preserve"> </v>
      </c>
      <c r="F10" t="str">
        <f>LOOKUP(B10,Data!$A$2:$A$174,Data!$D$2:$D$174)</f>
        <v xml:space="preserve"> </v>
      </c>
      <c r="G10" t="s">
        <v>15</v>
      </c>
      <c r="H10" s="4">
        <f>9*2229.5-$C$16</f>
        <v>1739.5</v>
      </c>
      <c r="I10" s="21">
        <f>9*2283.5-$C$16</f>
        <v>2225.5</v>
      </c>
      <c r="J10" s="5">
        <f>9*2324.5-$C$16</f>
        <v>2594.5</v>
      </c>
      <c r="K10" s="21">
        <f>9*2369.5-$C$16</f>
        <v>2999.5</v>
      </c>
      <c r="L10" s="5">
        <f>9*2406.5-$C$16</f>
        <v>3332.5</v>
      </c>
      <c r="M10" s="21">
        <f>9*2449.5-$C$16</f>
        <v>3719.5</v>
      </c>
      <c r="N10" s="5">
        <f>9*2492.5-$C$16</f>
        <v>4106.5</v>
      </c>
      <c r="O10" s="21">
        <f>9*2529.5-$C$16</f>
        <v>4439.5</v>
      </c>
      <c r="P10" s="2" t="s">
        <v>1</v>
      </c>
      <c r="Q10" s="17"/>
      <c r="R10" s="17"/>
      <c r="S10" s="60">
        <v>2492</v>
      </c>
      <c r="Y10">
        <f t="shared" si="1"/>
        <v>0</v>
      </c>
    </row>
    <row r="11" spans="1:25" x14ac:dyDescent="0.25">
      <c r="A11" s="10">
        <v>10</v>
      </c>
      <c r="B11">
        <v>1000</v>
      </c>
      <c r="C11" t="str">
        <f t="shared" si="0"/>
        <v xml:space="preserve"> </v>
      </c>
      <c r="D11" t="str">
        <f>LOOKUP(B11,Data!$A$2:$A$174,Data!$E$2:$E$174)</f>
        <v xml:space="preserve"> </v>
      </c>
      <c r="E11" t="str">
        <f>LOOKUP(B11,Data!$A$2:$A$174,Data!$C$2:$C$174)</f>
        <v xml:space="preserve"> </v>
      </c>
      <c r="F11" t="str">
        <f>LOOKUP(B11,Data!$A$2:$A$174,Data!$D$2:$D$174)</f>
        <v xml:space="preserve"> </v>
      </c>
      <c r="G11" t="s">
        <v>64</v>
      </c>
      <c r="H11" s="4">
        <f>9*2169.5-$C$16</f>
        <v>1199.5</v>
      </c>
      <c r="I11" s="21">
        <f>9*2233.5-$C$16</f>
        <v>1775.5</v>
      </c>
      <c r="J11" s="5">
        <f>9*2274.5-$C$16</f>
        <v>2144.5</v>
      </c>
      <c r="K11" s="21">
        <f>9*2319.5-$C$16</f>
        <v>2549.5</v>
      </c>
      <c r="L11" s="5">
        <f>9*2356.5-$C$16</f>
        <v>2882.5</v>
      </c>
      <c r="M11" s="21">
        <f>9*2399.5-$C$16</f>
        <v>3269.5</v>
      </c>
      <c r="N11" s="5">
        <f>9*2442.5-$C$16</f>
        <v>3656.5</v>
      </c>
      <c r="O11" s="21">
        <f>9*2479.5-$C$16</f>
        <v>3989.5</v>
      </c>
      <c r="P11" s="2" t="s">
        <v>2</v>
      </c>
      <c r="S11">
        <f>AVERAGE(S2:S10)</f>
        <v>2378.3333333333335</v>
      </c>
      <c r="Y11">
        <f t="shared" si="1"/>
        <v>0</v>
      </c>
    </row>
    <row r="12" spans="1:25" ht="15.75" thickBot="1" x14ac:dyDescent="0.3">
      <c r="A12" s="10">
        <v>11</v>
      </c>
      <c r="B12">
        <v>1000</v>
      </c>
      <c r="C12" t="str">
        <f t="shared" si="0"/>
        <v xml:space="preserve"> </v>
      </c>
      <c r="D12" t="str">
        <f>LOOKUP(B12,Data!$A$2:$A$174,Data!$E$2:$E$174)</f>
        <v xml:space="preserve"> </v>
      </c>
      <c r="E12" t="str">
        <f>LOOKUP(B12,Data!$A$2:$A$174,Data!$C$2:$C$174)</f>
        <v xml:space="preserve"> </v>
      </c>
      <c r="F12" t="str">
        <f>LOOKUP(B12,Data!$A$2:$A$174,Data!$D$2:$D$174)</f>
        <v xml:space="preserve"> </v>
      </c>
      <c r="H12" s="6">
        <f>9*2029.5-$C$16</f>
        <v>-60.5</v>
      </c>
      <c r="I12" s="22">
        <f>9*2083.5-$C$16</f>
        <v>425.5</v>
      </c>
      <c r="J12" s="7">
        <f>9*2124.5-$C$16</f>
        <v>794.5</v>
      </c>
      <c r="K12" s="21">
        <f>9*2169.5-$C$16</f>
        <v>1199.5</v>
      </c>
      <c r="L12" s="7">
        <f>9*2206.5-$C$16</f>
        <v>1532.5</v>
      </c>
      <c r="M12" s="22">
        <f>9*2249.5-$C$16</f>
        <v>1919.5</v>
      </c>
      <c r="N12" s="7">
        <f>9*2292.5-$C$16</f>
        <v>2306.5</v>
      </c>
      <c r="O12" s="22">
        <f>9*2329.5-$C$16</f>
        <v>2639.5</v>
      </c>
      <c r="P12" s="3" t="s">
        <v>3</v>
      </c>
      <c r="Y12">
        <f t="shared" si="1"/>
        <v>0</v>
      </c>
    </row>
    <row r="13" spans="1:25" ht="15.75" thickBot="1" x14ac:dyDescent="0.3">
      <c r="A13" s="10">
        <v>12</v>
      </c>
      <c r="B13">
        <v>1000</v>
      </c>
      <c r="C13" t="str">
        <f t="shared" si="0"/>
        <v xml:space="preserve"> </v>
      </c>
      <c r="D13" t="str">
        <f>LOOKUP(B13,Data!$A$2:$A$174,Data!$E$2:$E$174)</f>
        <v xml:space="preserve"> </v>
      </c>
      <c r="E13" t="str">
        <f>LOOKUP(B13,Data!$A$2:$A$174,Data!$C$2:$C$174)</f>
        <v xml:space="preserve"> </v>
      </c>
      <c r="F13" t="str">
        <f>LOOKUP(B13,Data!$A$2:$A$174,Data!$D$2:$D$174)</f>
        <v xml:space="preserve"> </v>
      </c>
      <c r="H13" s="85" t="s">
        <v>14</v>
      </c>
      <c r="I13" s="80"/>
      <c r="J13" s="80"/>
      <c r="K13" s="80"/>
      <c r="L13" s="80"/>
      <c r="M13" s="80"/>
      <c r="N13" s="8"/>
      <c r="O13" s="8"/>
      <c r="P13" s="8"/>
      <c r="Q13" s="8"/>
      <c r="R13" s="9"/>
      <c r="Y13">
        <f t="shared" si="1"/>
        <v>0</v>
      </c>
    </row>
    <row r="14" spans="1:25" x14ac:dyDescent="0.25">
      <c r="A14" s="10">
        <v>13</v>
      </c>
      <c r="B14">
        <v>1000</v>
      </c>
      <c r="C14" t="str">
        <f t="shared" si="0"/>
        <v xml:space="preserve"> </v>
      </c>
      <c r="D14" t="str">
        <f>LOOKUP(B14,Data!$A$2:$A$174,Data!$E$2:$E$174)</f>
        <v xml:space="preserve"> </v>
      </c>
      <c r="E14" t="str">
        <f>LOOKUP(B14,Data!$A$2:$A$174,Data!$C$2:$C$174)</f>
        <v xml:space="preserve"> </v>
      </c>
      <c r="F14" t="str">
        <f>LOOKUP(B14,Data!$A$2:$A$174,Data!$D$2:$D$174)</f>
        <v xml:space="preserve"> </v>
      </c>
      <c r="H14" s="29">
        <v>8</v>
      </c>
      <c r="I14" s="34">
        <v>7.5</v>
      </c>
      <c r="J14" s="30">
        <v>7</v>
      </c>
      <c r="K14" s="34">
        <v>6.5</v>
      </c>
      <c r="L14" s="30">
        <v>6</v>
      </c>
      <c r="M14" s="34">
        <v>5.5</v>
      </c>
      <c r="N14" s="30">
        <v>5</v>
      </c>
      <c r="O14" s="34">
        <v>4.5</v>
      </c>
      <c r="P14" s="30">
        <v>4</v>
      </c>
      <c r="Q14" s="34">
        <v>3.5</v>
      </c>
      <c r="R14" s="40"/>
      <c r="Y14">
        <f t="shared" si="1"/>
        <v>0</v>
      </c>
    </row>
    <row r="15" spans="1:25" ht="15.75" thickBot="1" x14ac:dyDescent="0.3">
      <c r="A15" s="10" t="s">
        <v>19</v>
      </c>
      <c r="C15">
        <f>IF(O2&lt;O3,O3-O2,0)</f>
        <v>219</v>
      </c>
      <c r="H15" s="4">
        <f>10*2379.5-$C$16</f>
        <v>5469</v>
      </c>
      <c r="I15" s="13">
        <f>10*2406.5-$C$16</f>
        <v>5739</v>
      </c>
      <c r="J15" s="4">
        <f>10*2450.5-$C$16</f>
        <v>6179</v>
      </c>
      <c r="K15" s="13">
        <f>10*2489.5-$C$16</f>
        <v>6569</v>
      </c>
      <c r="L15" s="4">
        <f>10*2527.5-$C$16</f>
        <v>6949</v>
      </c>
      <c r="M15" s="13">
        <f>10*2563.5-$C$16</f>
        <v>7309</v>
      </c>
      <c r="N15" s="4">
        <f>10*2599.5-$C$16</f>
        <v>7669</v>
      </c>
      <c r="O15" s="13">
        <f>10*2635.5-$C$16</f>
        <v>8029</v>
      </c>
      <c r="P15" s="4">
        <f>10*2671.5-$C$16</f>
        <v>8389</v>
      </c>
      <c r="Q15" s="18">
        <f>10*2709.5-$C$16</f>
        <v>8769</v>
      </c>
      <c r="R15" s="2" t="s">
        <v>0</v>
      </c>
      <c r="Y15">
        <f>SUM(Y2:Y14)</f>
        <v>8</v>
      </c>
    </row>
    <row r="16" spans="1:25" ht="21.75" thickBot="1" x14ac:dyDescent="0.4">
      <c r="A16" s="77" t="s">
        <v>38</v>
      </c>
      <c r="B16" s="77"/>
      <c r="C16">
        <f>SUM(C2:C15)</f>
        <v>18326</v>
      </c>
      <c r="F16" s="50" t="s">
        <v>37</v>
      </c>
      <c r="G16" s="49">
        <f>SUM(G2:G14)</f>
        <v>4</v>
      </c>
      <c r="H16" s="4">
        <f>10*2229.5-$C$16</f>
        <v>3969</v>
      </c>
      <c r="I16" s="13">
        <f>10*2256.5-$C$16</f>
        <v>4239</v>
      </c>
      <c r="J16" s="4">
        <f>10*2300.5-$C$16</f>
        <v>4679</v>
      </c>
      <c r="K16" s="13">
        <f>10*2339.5-$C$16</f>
        <v>5069</v>
      </c>
      <c r="L16" s="4">
        <f>10*2377.5-$C$16</f>
        <v>5449</v>
      </c>
      <c r="M16" s="13">
        <f>10*2413.5-$C$16</f>
        <v>5809</v>
      </c>
      <c r="N16" s="4">
        <f>10*2449.5-$C$16</f>
        <v>6169</v>
      </c>
      <c r="O16" s="13">
        <f>10*2489.5-$C$16</f>
        <v>6569</v>
      </c>
      <c r="P16" s="4">
        <f>10*2521.5-$C$16</f>
        <v>6889</v>
      </c>
      <c r="Q16" s="13">
        <f>10*2559.5-$C$16</f>
        <v>7269</v>
      </c>
      <c r="R16" s="2" t="s">
        <v>1</v>
      </c>
    </row>
    <row r="17" spans="1:20" ht="15.75" thickBot="1" x14ac:dyDescent="0.3">
      <c r="A17" s="61" t="s">
        <v>32</v>
      </c>
      <c r="C17">
        <f>C16/Y15</f>
        <v>2290.75</v>
      </c>
      <c r="H17" s="4">
        <f>10*2179.5-$C$16</f>
        <v>3469</v>
      </c>
      <c r="I17" s="13">
        <f>10*2206.5-$C$16</f>
        <v>3739</v>
      </c>
      <c r="J17" s="4">
        <f>10*2250.5-$C$16</f>
        <v>4179</v>
      </c>
      <c r="K17" s="13">
        <f>10*2289.5-$C$16</f>
        <v>4569</v>
      </c>
      <c r="L17" s="4">
        <f>10*2327.5-$C$16</f>
        <v>4949</v>
      </c>
      <c r="M17" s="13">
        <f>10*2363.5-$C$16</f>
        <v>5309</v>
      </c>
      <c r="N17" s="4">
        <f>10*2399.5-$C$16</f>
        <v>5669</v>
      </c>
      <c r="O17" s="13">
        <f>10*2435.5-$C$16</f>
        <v>6029</v>
      </c>
      <c r="P17" s="4">
        <f>10*2471.5-$C$16</f>
        <v>6389</v>
      </c>
      <c r="Q17" s="13">
        <f>10*2509.5-$C$16</f>
        <v>6769</v>
      </c>
      <c r="R17" s="2" t="s">
        <v>2</v>
      </c>
    </row>
    <row r="18" spans="1:20" ht="15.75" thickBot="1" x14ac:dyDescent="0.3">
      <c r="A18" s="63"/>
      <c r="B18" s="57"/>
      <c r="C18" s="80" t="s">
        <v>63</v>
      </c>
      <c r="D18" s="80"/>
      <c r="E18" s="81"/>
      <c r="H18" s="6">
        <f>10*2029.5-$C$16</f>
        <v>1969</v>
      </c>
      <c r="I18" s="14">
        <f>10*2056.5-$C$16</f>
        <v>2239</v>
      </c>
      <c r="J18" s="6">
        <f>10*2100.5-$C$16</f>
        <v>2679</v>
      </c>
      <c r="K18" s="14">
        <f>10*2139.5-$C$16</f>
        <v>3069</v>
      </c>
      <c r="L18" s="6">
        <f>10*2177.5-$C$16</f>
        <v>3449</v>
      </c>
      <c r="M18" s="14">
        <f>10*2213.5-$C$16</f>
        <v>3809</v>
      </c>
      <c r="N18" s="6">
        <f>10*2249.5-$C$16</f>
        <v>4169</v>
      </c>
      <c r="O18" s="14">
        <f>10*2285.5-$C$16</f>
        <v>4529</v>
      </c>
      <c r="P18" s="6">
        <f>10*2321.5-$C$16</f>
        <v>4889</v>
      </c>
      <c r="Q18" s="14">
        <f>10*2359.5-$C$16</f>
        <v>5269</v>
      </c>
      <c r="R18" s="3" t="s">
        <v>3</v>
      </c>
    </row>
    <row r="19" spans="1:20" ht="19.5" thickBot="1" x14ac:dyDescent="0.35">
      <c r="A19" s="58" t="s">
        <v>62</v>
      </c>
      <c r="B19" s="59">
        <v>52</v>
      </c>
      <c r="C19" s="78" t="str">
        <f>LOOKUP($B19,Data!$A$2:$A$174,Data!$B$2:$B$174)</f>
        <v>Player 52</v>
      </c>
      <c r="D19" s="78"/>
      <c r="E19" s="79"/>
      <c r="H19" s="85" t="s">
        <v>16</v>
      </c>
      <c r="I19" s="80"/>
      <c r="J19" s="80"/>
      <c r="K19" s="80"/>
      <c r="L19" s="80"/>
      <c r="M19" s="80"/>
      <c r="N19" s="36"/>
      <c r="O19" s="36"/>
      <c r="P19" s="36"/>
      <c r="Q19" s="36"/>
      <c r="R19" s="36"/>
      <c r="S19" s="37"/>
      <c r="T19" s="10"/>
    </row>
    <row r="20" spans="1:20" x14ac:dyDescent="0.25">
      <c r="H20" s="29">
        <v>9</v>
      </c>
      <c r="I20" s="39">
        <v>8.5</v>
      </c>
      <c r="J20" s="47">
        <v>8</v>
      </c>
      <c r="K20" s="39">
        <v>7.5</v>
      </c>
      <c r="L20" s="46">
        <v>7</v>
      </c>
      <c r="M20" s="39">
        <v>6.5</v>
      </c>
      <c r="N20" s="46">
        <v>6</v>
      </c>
      <c r="O20" s="39">
        <v>5.5</v>
      </c>
      <c r="P20" s="46">
        <v>5</v>
      </c>
      <c r="Q20" s="39">
        <v>4.5</v>
      </c>
      <c r="R20" s="46">
        <v>4</v>
      </c>
      <c r="S20" s="9"/>
    </row>
    <row r="21" spans="1:20" x14ac:dyDescent="0.25">
      <c r="H21" s="4">
        <f>11*2379.5-$C$16</f>
        <v>7848.5</v>
      </c>
      <c r="I21" s="13">
        <f>11*2388.5-$C$16</f>
        <v>7947.5</v>
      </c>
      <c r="J21" s="4">
        <f>11*2424.5-$C$16</f>
        <v>8343.5</v>
      </c>
      <c r="K21" s="13">
        <f>11*2466.5-$C$16</f>
        <v>8805.5</v>
      </c>
      <c r="L21" s="4">
        <f>11*2497.5-$C$16</f>
        <v>9146.5</v>
      </c>
      <c r="M21" s="13">
        <f>11*2534.5-$C$16</f>
        <v>9553.5</v>
      </c>
      <c r="N21" s="4">
        <f>11*2563.5-$C$16</f>
        <v>9872.5</v>
      </c>
      <c r="O21" s="13">
        <f>11*2599.5-$C$16</f>
        <v>10268.5</v>
      </c>
      <c r="P21" s="4">
        <f>11*2635.5-$C$16</f>
        <v>10664.5</v>
      </c>
      <c r="Q21" s="13">
        <f>11*2664.5-$C$16</f>
        <v>10983.5</v>
      </c>
      <c r="R21" s="4">
        <f>11*2701.5-$C$16</f>
        <v>11390.5</v>
      </c>
      <c r="S21" s="2" t="s">
        <v>0</v>
      </c>
    </row>
    <row r="22" spans="1:20" x14ac:dyDescent="0.25">
      <c r="H22" s="4">
        <f>11*2229.5-$C$16</f>
        <v>6198.5</v>
      </c>
      <c r="I22" s="13">
        <f>11*2238.5-$C$16</f>
        <v>6297.5</v>
      </c>
      <c r="J22" s="4">
        <f>11*2274.5-$C$16</f>
        <v>6693.5</v>
      </c>
      <c r="K22" s="13">
        <f>11*2316.5-$C$16</f>
        <v>7155.5</v>
      </c>
      <c r="L22" s="4">
        <f>11*2347.5-$C$16</f>
        <v>7496.5</v>
      </c>
      <c r="M22" s="13">
        <f>11*2384.5-$C$16</f>
        <v>7903.5</v>
      </c>
      <c r="N22" s="4">
        <f>11*2413.5-$C$16</f>
        <v>8222.5</v>
      </c>
      <c r="O22" s="13">
        <f>11*2449.5-$C$16</f>
        <v>8618.5</v>
      </c>
      <c r="P22" s="4">
        <f>11*2485.5-$C$16</f>
        <v>9014.5</v>
      </c>
      <c r="Q22" s="13">
        <f>11*2514.5-$C$16</f>
        <v>9333.5</v>
      </c>
      <c r="R22" s="4">
        <f>11*2551.5-$C$16</f>
        <v>9740.5</v>
      </c>
      <c r="S22" s="2" t="s">
        <v>1</v>
      </c>
    </row>
    <row r="23" spans="1:20" x14ac:dyDescent="0.25">
      <c r="H23" s="4">
        <f>11*2179.5-$C$16</f>
        <v>5648.5</v>
      </c>
      <c r="I23" s="13">
        <f>11*2188.5-$C$16</f>
        <v>5747.5</v>
      </c>
      <c r="J23" s="4">
        <f>11*2224.5-$C$16</f>
        <v>6143.5</v>
      </c>
      <c r="K23" s="13">
        <f>11*2266.5-$C$16</f>
        <v>6605.5</v>
      </c>
      <c r="L23" s="4">
        <f>11*2297.5-$C$16</f>
        <v>6946.5</v>
      </c>
      <c r="M23" s="13">
        <f>11*2334.5-$C$16</f>
        <v>7353.5</v>
      </c>
      <c r="N23" s="4">
        <f>11*2363.5-$C$16</f>
        <v>7672.5</v>
      </c>
      <c r="O23" s="13">
        <f>11*2399.5-$C$16</f>
        <v>8068.5</v>
      </c>
      <c r="P23" s="4">
        <f>11*2435.5-$C$16</f>
        <v>8464.5</v>
      </c>
      <c r="Q23" s="13">
        <f>11*2464.5-$C$16</f>
        <v>8783.5</v>
      </c>
      <c r="R23" s="4">
        <f>11*2501.5-$C$16</f>
        <v>9190.5</v>
      </c>
      <c r="S23" s="2" t="s">
        <v>2</v>
      </c>
    </row>
    <row r="24" spans="1:20" ht="15.75" thickBot="1" x14ac:dyDescent="0.3">
      <c r="H24" s="6">
        <f>11*2029.5-$C$16</f>
        <v>3998.5</v>
      </c>
      <c r="I24" s="14">
        <f>11*2038.5-$C$16</f>
        <v>4097.5</v>
      </c>
      <c r="J24" s="6">
        <f>11*2074.5-$C$16</f>
        <v>4493.5</v>
      </c>
      <c r="K24" s="14">
        <f>11*2116.5-$C$16</f>
        <v>4955.5</v>
      </c>
      <c r="L24" s="6">
        <f>11*2147.5-$C$16</f>
        <v>5296.5</v>
      </c>
      <c r="M24" s="14">
        <f>11*2184.5-$C$16</f>
        <v>5703.5</v>
      </c>
      <c r="N24" s="6">
        <f>11*2213.5-$C$16</f>
        <v>6022.5</v>
      </c>
      <c r="O24" s="14">
        <f>11*2249.5-$C$16</f>
        <v>6418.5</v>
      </c>
      <c r="P24" s="6">
        <f>11*2285.5-$C$16</f>
        <v>6814.5</v>
      </c>
      <c r="Q24" s="14">
        <f>11*2314.5-$C$16</f>
        <v>7133.5</v>
      </c>
      <c r="R24" s="6">
        <f>11*2351.5-$C$16</f>
        <v>7540.5</v>
      </c>
      <c r="S24" s="3" t="s">
        <v>3</v>
      </c>
    </row>
    <row r="25" spans="1:20" x14ac:dyDescent="0.25">
      <c r="H25" s="15"/>
      <c r="I25" s="16"/>
      <c r="J25" s="16"/>
      <c r="K25" s="16"/>
      <c r="L25" s="16"/>
      <c r="M25" s="75"/>
      <c r="N25" s="75"/>
      <c r="O25" s="75"/>
      <c r="P25" s="75"/>
      <c r="Q25" s="76"/>
    </row>
    <row r="26" spans="1:20" x14ac:dyDescent="0.25">
      <c r="H26" s="17"/>
      <c r="I26" s="17"/>
      <c r="J26" s="17"/>
      <c r="K26" s="17"/>
      <c r="L26" s="17"/>
    </row>
    <row r="27" spans="1:20" x14ac:dyDescent="0.25">
      <c r="H27" s="17"/>
      <c r="I27" s="17"/>
      <c r="J27" s="17"/>
      <c r="K27" s="17"/>
      <c r="L27" s="17"/>
    </row>
    <row r="28" spans="1:20" x14ac:dyDescent="0.25">
      <c r="H28" s="17"/>
      <c r="I28" s="17"/>
      <c r="J28" s="17"/>
      <c r="K28" s="17"/>
      <c r="L28" s="17"/>
    </row>
    <row r="29" spans="1:20" x14ac:dyDescent="0.25">
      <c r="H29" s="17"/>
      <c r="I29" s="17"/>
      <c r="J29" s="17"/>
      <c r="K29" s="17"/>
      <c r="L29" s="17"/>
    </row>
    <row r="30" spans="1:20" x14ac:dyDescent="0.25">
      <c r="H30" s="17"/>
      <c r="I30" s="17"/>
      <c r="J30" s="17"/>
      <c r="K30" s="17"/>
      <c r="L30" s="17"/>
    </row>
    <row r="31" spans="1:20" x14ac:dyDescent="0.25">
      <c r="H31" s="17"/>
      <c r="I31" s="17"/>
      <c r="J31" s="17"/>
      <c r="K31" s="17"/>
      <c r="L31" s="17"/>
    </row>
    <row r="32" spans="1:20" x14ac:dyDescent="0.25">
      <c r="H32" s="17"/>
      <c r="I32" s="17"/>
      <c r="J32" s="17"/>
      <c r="K32" s="17"/>
      <c r="L32" s="17"/>
    </row>
    <row r="33" spans="8:12" x14ac:dyDescent="0.25">
      <c r="H33" s="17"/>
      <c r="I33" s="17"/>
      <c r="J33" s="17"/>
      <c r="K33" s="17"/>
      <c r="L33" s="17"/>
    </row>
  </sheetData>
  <mergeCells count="8">
    <mergeCell ref="M25:Q25"/>
    <mergeCell ref="I1:J1"/>
    <mergeCell ref="H7:M7"/>
    <mergeCell ref="H13:M13"/>
    <mergeCell ref="A16:B16"/>
    <mergeCell ref="C18:E18"/>
    <mergeCell ref="C19:E19"/>
    <mergeCell ref="H19:M19"/>
  </mergeCells>
  <dataValidations count="1">
    <dataValidation type="list" allowBlank="1" showInputMessage="1" showErrorMessage="1" sqref="M1" xr:uid="{00000000-0002-0000-0900-000000000000}">
      <formula1>Select_Title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3"/>
  <sheetViews>
    <sheetView workbookViewId="0">
      <selection activeCell="H110" sqref="H110"/>
    </sheetView>
  </sheetViews>
  <sheetFormatPr defaultRowHeight="15" x14ac:dyDescent="0.25"/>
  <cols>
    <col min="2" max="2" width="26.140625" bestFit="1" customWidth="1"/>
  </cols>
  <sheetData>
    <row r="1" spans="1:7" x14ac:dyDescent="0.25">
      <c r="A1" s="64" t="s">
        <v>20</v>
      </c>
      <c r="B1" s="64" t="s">
        <v>12</v>
      </c>
      <c r="C1" s="64" t="s">
        <v>21</v>
      </c>
      <c r="D1" s="64" t="s">
        <v>22</v>
      </c>
      <c r="E1" s="64" t="s">
        <v>23</v>
      </c>
      <c r="F1" s="45"/>
      <c r="G1" s="48" t="s">
        <v>39</v>
      </c>
    </row>
    <row r="2" spans="1:7" x14ac:dyDescent="0.25">
      <c r="A2" s="65">
        <v>1</v>
      </c>
      <c r="B2" s="70" t="s">
        <v>95</v>
      </c>
      <c r="C2" s="70" t="s">
        <v>26</v>
      </c>
      <c r="D2" s="71" t="s">
        <v>0</v>
      </c>
      <c r="E2" s="72">
        <v>2676</v>
      </c>
      <c r="F2" s="20" t="s">
        <v>15</v>
      </c>
      <c r="G2" s="45"/>
    </row>
    <row r="3" spans="1:7" x14ac:dyDescent="0.25">
      <c r="A3" s="65">
        <v>2</v>
      </c>
      <c r="B3" s="70" t="s">
        <v>96</v>
      </c>
      <c r="C3" s="70" t="s">
        <v>71</v>
      </c>
      <c r="D3" s="71" t="s">
        <v>0</v>
      </c>
      <c r="E3" s="72">
        <v>2659</v>
      </c>
      <c r="F3" s="20" t="s">
        <v>15</v>
      </c>
    </row>
    <row r="4" spans="1:7" x14ac:dyDescent="0.25">
      <c r="A4" s="65">
        <v>3</v>
      </c>
      <c r="B4" s="70" t="s">
        <v>97</v>
      </c>
      <c r="C4" s="70" t="s">
        <v>27</v>
      </c>
      <c r="D4" s="71" t="s">
        <v>0</v>
      </c>
      <c r="E4" s="72">
        <v>2614</v>
      </c>
      <c r="F4" s="20" t="s">
        <v>15</v>
      </c>
    </row>
    <row r="5" spans="1:7" x14ac:dyDescent="0.25">
      <c r="A5" s="65">
        <v>4</v>
      </c>
      <c r="B5" s="70" t="s">
        <v>98</v>
      </c>
      <c r="C5" s="70" t="s">
        <v>69</v>
      </c>
      <c r="D5" s="71" t="s">
        <v>0</v>
      </c>
      <c r="E5" s="72">
        <v>2592</v>
      </c>
      <c r="F5" s="20" t="s">
        <v>15</v>
      </c>
    </row>
    <row r="6" spans="1:7" x14ac:dyDescent="0.25">
      <c r="A6" s="65">
        <v>5</v>
      </c>
      <c r="B6" s="70" t="s">
        <v>99</v>
      </c>
      <c r="C6" s="70" t="s">
        <v>72</v>
      </c>
      <c r="D6" s="71" t="s">
        <v>0</v>
      </c>
      <c r="E6" s="72">
        <v>2586</v>
      </c>
      <c r="F6" s="20" t="s">
        <v>15</v>
      </c>
    </row>
    <row r="7" spans="1:7" x14ac:dyDescent="0.25">
      <c r="A7" s="65">
        <v>6</v>
      </c>
      <c r="B7" s="70" t="s">
        <v>100</v>
      </c>
      <c r="C7" s="70" t="s">
        <v>73</v>
      </c>
      <c r="D7" s="71" t="s">
        <v>0</v>
      </c>
      <c r="E7" s="72">
        <v>2585</v>
      </c>
      <c r="F7" s="20" t="s">
        <v>15</v>
      </c>
    </row>
    <row r="8" spans="1:7" x14ac:dyDescent="0.25">
      <c r="A8" s="65">
        <v>7</v>
      </c>
      <c r="B8" s="70" t="s">
        <v>101</v>
      </c>
      <c r="C8" s="70" t="s">
        <v>71</v>
      </c>
      <c r="D8" s="71" t="s">
        <v>0</v>
      </c>
      <c r="E8" s="72">
        <v>2576</v>
      </c>
      <c r="F8" s="20" t="s">
        <v>15</v>
      </c>
    </row>
    <row r="9" spans="1:7" x14ac:dyDescent="0.25">
      <c r="A9" s="65">
        <v>8</v>
      </c>
      <c r="B9" s="70" t="s">
        <v>102</v>
      </c>
      <c r="C9" s="70" t="s">
        <v>24</v>
      </c>
      <c r="D9" s="71" t="s">
        <v>0</v>
      </c>
      <c r="E9" s="72">
        <v>2566</v>
      </c>
      <c r="F9" s="20" t="s">
        <v>15</v>
      </c>
    </row>
    <row r="10" spans="1:7" x14ac:dyDescent="0.25">
      <c r="A10" s="65">
        <v>9</v>
      </c>
      <c r="B10" s="70" t="s">
        <v>103</v>
      </c>
      <c r="C10" s="70" t="s">
        <v>66</v>
      </c>
      <c r="D10" s="71" t="s">
        <v>0</v>
      </c>
      <c r="E10" s="72">
        <v>2552</v>
      </c>
      <c r="F10" s="20" t="s">
        <v>15</v>
      </c>
    </row>
    <row r="11" spans="1:7" x14ac:dyDescent="0.25">
      <c r="A11" s="65">
        <v>10</v>
      </c>
      <c r="B11" s="70" t="s">
        <v>104</v>
      </c>
      <c r="C11" s="70" t="s">
        <v>66</v>
      </c>
      <c r="D11" s="71" t="s">
        <v>0</v>
      </c>
      <c r="E11" s="72">
        <v>2523</v>
      </c>
      <c r="F11" s="20" t="s">
        <v>15</v>
      </c>
    </row>
    <row r="12" spans="1:7" x14ac:dyDescent="0.25">
      <c r="A12" s="65">
        <v>11</v>
      </c>
      <c r="B12" s="70" t="s">
        <v>105</v>
      </c>
      <c r="C12" s="70" t="s">
        <v>74</v>
      </c>
      <c r="D12" s="71" t="s">
        <v>0</v>
      </c>
      <c r="E12" s="72">
        <v>2502</v>
      </c>
      <c r="F12" s="20" t="s">
        <v>15</v>
      </c>
    </row>
    <row r="13" spans="1:7" x14ac:dyDescent="0.25">
      <c r="A13" s="65">
        <v>12</v>
      </c>
      <c r="B13" s="70" t="s">
        <v>106</v>
      </c>
      <c r="C13" s="70" t="s">
        <v>66</v>
      </c>
      <c r="D13" s="71" t="s">
        <v>0</v>
      </c>
      <c r="E13" s="72">
        <v>2499</v>
      </c>
      <c r="F13" s="20" t="s">
        <v>15</v>
      </c>
    </row>
    <row r="14" spans="1:7" x14ac:dyDescent="0.25">
      <c r="A14" s="65">
        <v>13</v>
      </c>
      <c r="B14" s="70" t="s">
        <v>107</v>
      </c>
      <c r="C14" s="70" t="s">
        <v>66</v>
      </c>
      <c r="D14" s="71" t="s">
        <v>0</v>
      </c>
      <c r="E14" s="72">
        <v>2489</v>
      </c>
      <c r="F14" s="20" t="s">
        <v>15</v>
      </c>
    </row>
    <row r="15" spans="1:7" x14ac:dyDescent="0.25">
      <c r="A15" s="65">
        <v>14</v>
      </c>
      <c r="B15" s="70" t="s">
        <v>108</v>
      </c>
      <c r="C15" s="70" t="s">
        <v>66</v>
      </c>
      <c r="D15" s="71" t="s">
        <v>0</v>
      </c>
      <c r="E15" s="72">
        <v>2460</v>
      </c>
      <c r="F15" s="20" t="s">
        <v>15</v>
      </c>
    </row>
    <row r="16" spans="1:7" x14ac:dyDescent="0.25">
      <c r="A16" s="65">
        <v>15</v>
      </c>
      <c r="B16" s="70" t="s">
        <v>109</v>
      </c>
      <c r="C16" s="70" t="s">
        <v>75</v>
      </c>
      <c r="D16" s="71" t="s">
        <v>1</v>
      </c>
      <c r="E16" s="72">
        <v>2451</v>
      </c>
      <c r="F16" s="20" t="s">
        <v>15</v>
      </c>
    </row>
    <row r="17" spans="1:6" x14ac:dyDescent="0.25">
      <c r="A17" s="65">
        <v>16</v>
      </c>
      <c r="B17" s="70" t="s">
        <v>110</v>
      </c>
      <c r="C17" s="70" t="s">
        <v>76</v>
      </c>
      <c r="D17" s="71" t="s">
        <v>1</v>
      </c>
      <c r="E17" s="72">
        <v>2450</v>
      </c>
      <c r="F17" s="20" t="s">
        <v>15</v>
      </c>
    </row>
    <row r="18" spans="1:6" x14ac:dyDescent="0.25">
      <c r="A18" s="65">
        <v>17</v>
      </c>
      <c r="B18" s="70" t="s">
        <v>111</v>
      </c>
      <c r="C18" s="70" t="s">
        <v>66</v>
      </c>
      <c r="D18" s="71" t="s">
        <v>1</v>
      </c>
      <c r="E18" s="72">
        <v>2437</v>
      </c>
      <c r="F18" s="20" t="s">
        <v>15</v>
      </c>
    </row>
    <row r="19" spans="1:6" x14ac:dyDescent="0.25">
      <c r="A19" s="65">
        <v>18</v>
      </c>
      <c r="B19" s="70" t="s">
        <v>112</v>
      </c>
      <c r="C19" s="70" t="s">
        <v>76</v>
      </c>
      <c r="D19" s="71" t="s">
        <v>1</v>
      </c>
      <c r="E19" s="72">
        <v>2428</v>
      </c>
      <c r="F19" s="20" t="s">
        <v>15</v>
      </c>
    </row>
    <row r="20" spans="1:6" x14ac:dyDescent="0.25">
      <c r="A20" s="65">
        <v>19</v>
      </c>
      <c r="B20" s="70" t="s">
        <v>113</v>
      </c>
      <c r="C20" s="70" t="s">
        <v>64</v>
      </c>
      <c r="D20" s="71"/>
      <c r="E20" s="72" t="s">
        <v>77</v>
      </c>
      <c r="F20" s="20" t="s">
        <v>15</v>
      </c>
    </row>
    <row r="21" spans="1:6" x14ac:dyDescent="0.25">
      <c r="A21" s="65">
        <v>20</v>
      </c>
      <c r="B21" s="70" t="s">
        <v>114</v>
      </c>
      <c r="C21" s="70" t="s">
        <v>66</v>
      </c>
      <c r="D21" s="71" t="s">
        <v>28</v>
      </c>
      <c r="E21" s="72">
        <v>2398</v>
      </c>
      <c r="F21" s="20" t="s">
        <v>15</v>
      </c>
    </row>
    <row r="22" spans="1:6" x14ac:dyDescent="0.25">
      <c r="A22" s="65">
        <v>21</v>
      </c>
      <c r="B22" s="70" t="s">
        <v>115</v>
      </c>
      <c r="C22" s="70" t="s">
        <v>66</v>
      </c>
      <c r="D22" s="71" t="s">
        <v>28</v>
      </c>
      <c r="E22" s="72">
        <v>2365</v>
      </c>
      <c r="F22" s="20" t="s">
        <v>15</v>
      </c>
    </row>
    <row r="23" spans="1:6" x14ac:dyDescent="0.25">
      <c r="A23" s="65">
        <v>22</v>
      </c>
      <c r="B23" s="70" t="s">
        <v>116</v>
      </c>
      <c r="C23" s="70" t="s">
        <v>66</v>
      </c>
      <c r="D23" s="71" t="s">
        <v>28</v>
      </c>
      <c r="E23" s="72">
        <v>2356</v>
      </c>
      <c r="F23" s="20" t="s">
        <v>15</v>
      </c>
    </row>
    <row r="24" spans="1:6" x14ac:dyDescent="0.25">
      <c r="A24" s="65">
        <v>23</v>
      </c>
      <c r="B24" s="70" t="s">
        <v>117</v>
      </c>
      <c r="C24" s="70" t="s">
        <v>66</v>
      </c>
      <c r="D24" s="71" t="s">
        <v>1</v>
      </c>
      <c r="E24" s="72">
        <v>2349</v>
      </c>
      <c r="F24" s="20" t="s">
        <v>15</v>
      </c>
    </row>
    <row r="25" spans="1:6" x14ac:dyDescent="0.25">
      <c r="A25" s="65">
        <v>24</v>
      </c>
      <c r="B25" s="70" t="s">
        <v>118</v>
      </c>
      <c r="C25" s="70" t="s">
        <v>78</v>
      </c>
      <c r="D25" s="71" t="s">
        <v>1</v>
      </c>
      <c r="E25" s="72">
        <v>2345</v>
      </c>
      <c r="F25" s="20" t="s">
        <v>15</v>
      </c>
    </row>
    <row r="26" spans="1:6" x14ac:dyDescent="0.25">
      <c r="A26" s="65">
        <v>25</v>
      </c>
      <c r="B26" s="70" t="s">
        <v>119</v>
      </c>
      <c r="C26" s="70" t="s">
        <v>70</v>
      </c>
      <c r="D26" s="71" t="s">
        <v>28</v>
      </c>
      <c r="E26" s="72">
        <v>2340</v>
      </c>
      <c r="F26" s="20" t="s">
        <v>15</v>
      </c>
    </row>
    <row r="27" spans="1:6" x14ac:dyDescent="0.25">
      <c r="A27" s="65">
        <v>26</v>
      </c>
      <c r="B27" s="70" t="s">
        <v>120</v>
      </c>
      <c r="C27" s="70" t="s">
        <v>66</v>
      </c>
      <c r="D27" s="71" t="s">
        <v>28</v>
      </c>
      <c r="E27" s="72">
        <v>2339</v>
      </c>
      <c r="F27" s="20" t="s">
        <v>15</v>
      </c>
    </row>
    <row r="28" spans="1:6" x14ac:dyDescent="0.25">
      <c r="A28" s="65">
        <v>27</v>
      </c>
      <c r="B28" s="70" t="s">
        <v>121</v>
      </c>
      <c r="C28" s="70" t="s">
        <v>66</v>
      </c>
      <c r="D28" s="71" t="s">
        <v>1</v>
      </c>
      <c r="E28" s="72">
        <v>2338</v>
      </c>
      <c r="F28" s="20" t="s">
        <v>15</v>
      </c>
    </row>
    <row r="29" spans="1:6" x14ac:dyDescent="0.25">
      <c r="A29" s="65">
        <v>28</v>
      </c>
      <c r="B29" s="70" t="s">
        <v>122</v>
      </c>
      <c r="C29" s="70" t="s">
        <v>71</v>
      </c>
      <c r="D29" s="71" t="s">
        <v>2</v>
      </c>
      <c r="E29" s="72">
        <v>2323</v>
      </c>
      <c r="F29" s="20" t="s">
        <v>15</v>
      </c>
    </row>
    <row r="30" spans="1:6" x14ac:dyDescent="0.25">
      <c r="A30" s="65">
        <v>29</v>
      </c>
      <c r="B30" s="70" t="s">
        <v>123</v>
      </c>
      <c r="C30" s="70" t="s">
        <v>66</v>
      </c>
      <c r="D30" s="71" t="s">
        <v>28</v>
      </c>
      <c r="E30" s="72">
        <v>2308</v>
      </c>
      <c r="F30" s="20" t="s">
        <v>15</v>
      </c>
    </row>
    <row r="31" spans="1:6" x14ac:dyDescent="0.25">
      <c r="A31" s="65">
        <v>30</v>
      </c>
      <c r="B31" s="70" t="s">
        <v>124</v>
      </c>
      <c r="C31" s="70" t="s">
        <v>79</v>
      </c>
      <c r="D31" s="71" t="s">
        <v>3</v>
      </c>
      <c r="E31" s="72">
        <v>2302</v>
      </c>
      <c r="F31" s="20" t="s">
        <v>15</v>
      </c>
    </row>
    <row r="32" spans="1:6" x14ac:dyDescent="0.25">
      <c r="A32" s="65">
        <v>31</v>
      </c>
      <c r="B32" s="70" t="s">
        <v>125</v>
      </c>
      <c r="C32" s="70" t="s">
        <v>66</v>
      </c>
      <c r="D32" s="71" t="s">
        <v>28</v>
      </c>
      <c r="E32" s="72">
        <v>2276</v>
      </c>
      <c r="F32" s="20" t="s">
        <v>15</v>
      </c>
    </row>
    <row r="33" spans="1:6" x14ac:dyDescent="0.25">
      <c r="A33" s="65">
        <v>32</v>
      </c>
      <c r="B33" s="70" t="s">
        <v>126</v>
      </c>
      <c r="C33" s="70" t="s">
        <v>66</v>
      </c>
      <c r="D33" s="71" t="s">
        <v>28</v>
      </c>
      <c r="E33" s="72">
        <v>2272</v>
      </c>
      <c r="F33" s="20" t="s">
        <v>15</v>
      </c>
    </row>
    <row r="34" spans="1:6" x14ac:dyDescent="0.25">
      <c r="A34" s="65">
        <v>33</v>
      </c>
      <c r="B34" s="70" t="s">
        <v>127</v>
      </c>
      <c r="C34" s="70" t="s">
        <v>25</v>
      </c>
      <c r="D34" s="71" t="s">
        <v>1</v>
      </c>
      <c r="E34" s="72">
        <v>2271</v>
      </c>
      <c r="F34" s="20" t="s">
        <v>15</v>
      </c>
    </row>
    <row r="35" spans="1:6" x14ac:dyDescent="0.25">
      <c r="A35" s="65">
        <v>34</v>
      </c>
      <c r="B35" s="70" t="s">
        <v>128</v>
      </c>
      <c r="C35" s="70" t="s">
        <v>80</v>
      </c>
      <c r="D35" s="71"/>
      <c r="E35" s="72">
        <v>2255</v>
      </c>
      <c r="F35" s="20" t="s">
        <v>15</v>
      </c>
    </row>
    <row r="36" spans="1:6" x14ac:dyDescent="0.25">
      <c r="A36" s="65">
        <v>35</v>
      </c>
      <c r="B36" s="70" t="s">
        <v>129</v>
      </c>
      <c r="C36" s="70" t="s">
        <v>66</v>
      </c>
      <c r="D36" s="71" t="s">
        <v>28</v>
      </c>
      <c r="E36" s="72">
        <v>2244</v>
      </c>
      <c r="F36" s="20" t="s">
        <v>15</v>
      </c>
    </row>
    <row r="37" spans="1:6" x14ac:dyDescent="0.25">
      <c r="A37" s="65">
        <v>36</v>
      </c>
      <c r="B37" s="70" t="s">
        <v>130</v>
      </c>
      <c r="C37" s="70" t="s">
        <v>66</v>
      </c>
      <c r="D37" s="71" t="s">
        <v>28</v>
      </c>
      <c r="E37" s="72">
        <v>2237</v>
      </c>
      <c r="F37" s="20" t="s">
        <v>15</v>
      </c>
    </row>
    <row r="38" spans="1:6" x14ac:dyDescent="0.25">
      <c r="A38" s="65">
        <v>37</v>
      </c>
      <c r="B38" s="70" t="s">
        <v>131</v>
      </c>
      <c r="C38" s="70" t="s">
        <v>80</v>
      </c>
      <c r="D38" s="71" t="s">
        <v>28</v>
      </c>
      <c r="E38" s="72">
        <v>2236</v>
      </c>
      <c r="F38" s="20" t="s">
        <v>15</v>
      </c>
    </row>
    <row r="39" spans="1:6" x14ac:dyDescent="0.25">
      <c r="A39" s="65">
        <v>38</v>
      </c>
      <c r="B39" s="70" t="s">
        <v>132</v>
      </c>
      <c r="C39" s="70" t="s">
        <v>66</v>
      </c>
      <c r="D39" s="71" t="s">
        <v>28</v>
      </c>
      <c r="E39" s="72">
        <v>2230</v>
      </c>
      <c r="F39" s="20" t="s">
        <v>15</v>
      </c>
    </row>
    <row r="40" spans="1:6" x14ac:dyDescent="0.25">
      <c r="A40" s="65">
        <v>39</v>
      </c>
      <c r="B40" s="70" t="s">
        <v>133</v>
      </c>
      <c r="C40" s="70" t="s">
        <v>71</v>
      </c>
      <c r="D40" s="71"/>
      <c r="E40" s="72">
        <v>2225</v>
      </c>
      <c r="F40" s="20" t="s">
        <v>15</v>
      </c>
    </row>
    <row r="41" spans="1:6" x14ac:dyDescent="0.25">
      <c r="A41" s="65">
        <v>40</v>
      </c>
      <c r="B41" s="70" t="s">
        <v>134</v>
      </c>
      <c r="C41" s="70" t="s">
        <v>26</v>
      </c>
      <c r="D41" s="71"/>
      <c r="E41" s="72">
        <v>2223</v>
      </c>
      <c r="F41" s="20" t="s">
        <v>15</v>
      </c>
    </row>
    <row r="42" spans="1:6" x14ac:dyDescent="0.25">
      <c r="A42" s="65">
        <v>41</v>
      </c>
      <c r="B42" s="70" t="s">
        <v>135</v>
      </c>
      <c r="C42" s="70" t="s">
        <v>81</v>
      </c>
      <c r="D42" s="71" t="s">
        <v>1</v>
      </c>
      <c r="E42" s="72">
        <v>2194</v>
      </c>
      <c r="F42" s="20" t="s">
        <v>15</v>
      </c>
    </row>
    <row r="43" spans="1:6" x14ac:dyDescent="0.25">
      <c r="A43" s="65">
        <v>42</v>
      </c>
      <c r="B43" s="70" t="s">
        <v>136</v>
      </c>
      <c r="C43" s="70" t="s">
        <v>82</v>
      </c>
      <c r="D43" s="71"/>
      <c r="E43" s="72">
        <v>2191</v>
      </c>
      <c r="F43" s="20" t="s">
        <v>15</v>
      </c>
    </row>
    <row r="44" spans="1:6" x14ac:dyDescent="0.25">
      <c r="A44" s="65">
        <v>43</v>
      </c>
      <c r="B44" s="70" t="s">
        <v>137</v>
      </c>
      <c r="C44" s="70" t="s">
        <v>66</v>
      </c>
      <c r="D44" s="71"/>
      <c r="E44" s="72">
        <v>2188</v>
      </c>
      <c r="F44" s="20" t="s">
        <v>15</v>
      </c>
    </row>
    <row r="45" spans="1:6" x14ac:dyDescent="0.25">
      <c r="A45" s="65">
        <v>44</v>
      </c>
      <c r="B45" s="70" t="s">
        <v>138</v>
      </c>
      <c r="C45" s="70" t="s">
        <v>71</v>
      </c>
      <c r="D45" s="71" t="s">
        <v>83</v>
      </c>
      <c r="E45" s="72">
        <v>2186</v>
      </c>
      <c r="F45" s="20" t="s">
        <v>15</v>
      </c>
    </row>
    <row r="46" spans="1:6" x14ac:dyDescent="0.25">
      <c r="A46" s="65">
        <v>45</v>
      </c>
      <c r="B46" s="70" t="s">
        <v>139</v>
      </c>
      <c r="C46" s="70" t="s">
        <v>67</v>
      </c>
      <c r="D46" s="71"/>
      <c r="E46" s="72">
        <v>2186</v>
      </c>
      <c r="F46" s="20" t="s">
        <v>15</v>
      </c>
    </row>
    <row r="47" spans="1:6" x14ac:dyDescent="0.25">
      <c r="A47" s="65">
        <v>46</v>
      </c>
      <c r="B47" s="70" t="s">
        <v>140</v>
      </c>
      <c r="C47" s="70" t="s">
        <v>71</v>
      </c>
      <c r="D47" s="71" t="s">
        <v>3</v>
      </c>
      <c r="E47" s="72">
        <v>2181</v>
      </c>
      <c r="F47" s="20" t="s">
        <v>15</v>
      </c>
    </row>
    <row r="48" spans="1:6" x14ac:dyDescent="0.25">
      <c r="A48" s="65">
        <v>47</v>
      </c>
      <c r="B48" s="70" t="s">
        <v>141</v>
      </c>
      <c r="C48" s="70" t="s">
        <v>66</v>
      </c>
      <c r="D48" s="71"/>
      <c r="E48" s="72">
        <v>2180</v>
      </c>
      <c r="F48" s="20" t="s">
        <v>15</v>
      </c>
    </row>
    <row r="49" spans="1:6" x14ac:dyDescent="0.25">
      <c r="A49" s="65">
        <v>48</v>
      </c>
      <c r="B49" s="70" t="s">
        <v>142</v>
      </c>
      <c r="C49" s="70" t="s">
        <v>66</v>
      </c>
      <c r="D49" s="71"/>
      <c r="E49" s="72">
        <v>2175</v>
      </c>
      <c r="F49" s="20" t="s">
        <v>15</v>
      </c>
    </row>
    <row r="50" spans="1:6" x14ac:dyDescent="0.25">
      <c r="A50" s="65">
        <v>49</v>
      </c>
      <c r="B50" s="70" t="s">
        <v>143</v>
      </c>
      <c r="C50" s="70" t="s">
        <v>66</v>
      </c>
      <c r="D50" s="71"/>
      <c r="E50" s="72">
        <v>2162</v>
      </c>
      <c r="F50" s="20" t="s">
        <v>15</v>
      </c>
    </row>
    <row r="51" spans="1:6" x14ac:dyDescent="0.25">
      <c r="A51" s="65">
        <v>50</v>
      </c>
      <c r="B51" s="70" t="s">
        <v>144</v>
      </c>
      <c r="C51" s="70" t="s">
        <v>84</v>
      </c>
      <c r="D51" s="71"/>
      <c r="E51" s="72">
        <v>2148</v>
      </c>
      <c r="F51" s="20" t="s">
        <v>15</v>
      </c>
    </row>
    <row r="52" spans="1:6" x14ac:dyDescent="0.25">
      <c r="A52" s="65">
        <v>51</v>
      </c>
      <c r="B52" s="70" t="s">
        <v>145</v>
      </c>
      <c r="C52" s="70" t="s">
        <v>66</v>
      </c>
      <c r="D52" s="71"/>
      <c r="E52" s="72">
        <v>2145</v>
      </c>
      <c r="F52" s="20" t="s">
        <v>15</v>
      </c>
    </row>
    <row r="53" spans="1:6" x14ac:dyDescent="0.25">
      <c r="A53" s="65">
        <v>52</v>
      </c>
      <c r="B53" s="70" t="s">
        <v>146</v>
      </c>
      <c r="C53" s="70" t="s">
        <v>70</v>
      </c>
      <c r="D53" s="71"/>
      <c r="E53" s="72">
        <v>2144</v>
      </c>
      <c r="F53" s="20" t="s">
        <v>15</v>
      </c>
    </row>
    <row r="54" spans="1:6" x14ac:dyDescent="0.25">
      <c r="A54" s="65">
        <v>53</v>
      </c>
      <c r="B54" s="70" t="s">
        <v>147</v>
      </c>
      <c r="C54" s="70" t="s">
        <v>66</v>
      </c>
      <c r="D54" s="71"/>
      <c r="E54" s="72">
        <v>2128</v>
      </c>
    </row>
    <row r="55" spans="1:6" x14ac:dyDescent="0.25">
      <c r="A55" s="65">
        <v>54</v>
      </c>
      <c r="B55" s="70" t="s">
        <v>148</v>
      </c>
      <c r="C55" s="70" t="s">
        <v>66</v>
      </c>
      <c r="D55" s="71"/>
      <c r="E55" s="72">
        <v>2105</v>
      </c>
    </row>
    <row r="56" spans="1:6" x14ac:dyDescent="0.25">
      <c r="A56" s="65">
        <v>55</v>
      </c>
      <c r="B56" s="70" t="s">
        <v>149</v>
      </c>
      <c r="C56" s="70" t="s">
        <v>66</v>
      </c>
      <c r="D56" s="71"/>
      <c r="E56" s="72">
        <v>2100</v>
      </c>
    </row>
    <row r="57" spans="1:6" x14ac:dyDescent="0.25">
      <c r="A57" s="65">
        <v>56</v>
      </c>
      <c r="B57" s="70" t="s">
        <v>150</v>
      </c>
      <c r="C57" s="70" t="s">
        <v>66</v>
      </c>
      <c r="D57" s="71" t="s">
        <v>28</v>
      </c>
      <c r="E57" s="72">
        <v>2095</v>
      </c>
    </row>
    <row r="58" spans="1:6" x14ac:dyDescent="0.25">
      <c r="A58" s="65">
        <v>57</v>
      </c>
      <c r="B58" s="70" t="s">
        <v>151</v>
      </c>
      <c r="C58" s="70" t="s">
        <v>66</v>
      </c>
      <c r="D58" s="71"/>
      <c r="E58" s="72">
        <v>2086</v>
      </c>
    </row>
    <row r="59" spans="1:6" x14ac:dyDescent="0.25">
      <c r="A59" s="65">
        <v>58</v>
      </c>
      <c r="B59" s="70" t="s">
        <v>152</v>
      </c>
      <c r="C59" s="70" t="s">
        <v>85</v>
      </c>
      <c r="D59" s="71"/>
      <c r="E59" s="72">
        <v>2081</v>
      </c>
    </row>
    <row r="60" spans="1:6" x14ac:dyDescent="0.25">
      <c r="A60" s="65">
        <v>59</v>
      </c>
      <c r="B60" s="70" t="s">
        <v>153</v>
      </c>
      <c r="C60" s="70" t="s">
        <v>80</v>
      </c>
      <c r="D60" s="71"/>
      <c r="E60" s="72">
        <v>2080</v>
      </c>
    </row>
    <row r="61" spans="1:6" x14ac:dyDescent="0.25">
      <c r="A61" s="65">
        <v>60</v>
      </c>
      <c r="B61" s="70" t="s">
        <v>154</v>
      </c>
      <c r="C61" s="70" t="s">
        <v>66</v>
      </c>
      <c r="D61" s="71" t="s">
        <v>28</v>
      </c>
      <c r="E61" s="72">
        <v>2067</v>
      </c>
    </row>
    <row r="62" spans="1:6" x14ac:dyDescent="0.25">
      <c r="A62" s="65">
        <v>61</v>
      </c>
      <c r="B62" s="70" t="s">
        <v>155</v>
      </c>
      <c r="C62" s="70" t="s">
        <v>66</v>
      </c>
      <c r="D62" s="71"/>
      <c r="E62" s="72">
        <v>2064</v>
      </c>
    </row>
    <row r="63" spans="1:6" x14ac:dyDescent="0.25">
      <c r="A63" s="65">
        <v>62</v>
      </c>
      <c r="B63" s="70" t="s">
        <v>156</v>
      </c>
      <c r="C63" s="70" t="s">
        <v>82</v>
      </c>
      <c r="D63" s="71"/>
      <c r="E63" s="72">
        <v>2063</v>
      </c>
    </row>
    <row r="64" spans="1:6" x14ac:dyDescent="0.25">
      <c r="A64" s="65">
        <v>63</v>
      </c>
      <c r="B64" s="70" t="s">
        <v>157</v>
      </c>
      <c r="C64" s="70" t="s">
        <v>66</v>
      </c>
      <c r="D64" s="71"/>
      <c r="E64" s="72">
        <v>2056</v>
      </c>
    </row>
    <row r="65" spans="1:5" x14ac:dyDescent="0.25">
      <c r="A65" s="65">
        <v>64</v>
      </c>
      <c r="B65" s="70" t="s">
        <v>158</v>
      </c>
      <c r="C65" s="70" t="s">
        <v>66</v>
      </c>
      <c r="D65" s="71"/>
      <c r="E65" s="72">
        <v>2056</v>
      </c>
    </row>
    <row r="66" spans="1:5" x14ac:dyDescent="0.25">
      <c r="A66" s="65">
        <v>65</v>
      </c>
      <c r="B66" s="70" t="s">
        <v>159</v>
      </c>
      <c r="C66" s="70" t="s">
        <v>66</v>
      </c>
      <c r="D66" s="71"/>
      <c r="E66" s="72">
        <v>2042</v>
      </c>
    </row>
    <row r="67" spans="1:5" x14ac:dyDescent="0.25">
      <c r="A67" s="65">
        <v>66</v>
      </c>
      <c r="B67" s="70" t="s">
        <v>160</v>
      </c>
      <c r="C67" s="70" t="s">
        <v>70</v>
      </c>
      <c r="D67" s="71"/>
      <c r="E67" s="72">
        <v>2036</v>
      </c>
    </row>
    <row r="68" spans="1:5" x14ac:dyDescent="0.25">
      <c r="A68" s="65">
        <v>67</v>
      </c>
      <c r="B68" s="70" t="s">
        <v>161</v>
      </c>
      <c r="C68" s="70" t="s">
        <v>86</v>
      </c>
      <c r="D68" s="71"/>
      <c r="E68" s="72">
        <v>2028</v>
      </c>
    </row>
    <row r="69" spans="1:5" x14ac:dyDescent="0.25">
      <c r="A69" s="65">
        <v>68</v>
      </c>
      <c r="B69" s="70" t="s">
        <v>162</v>
      </c>
      <c r="C69" s="70" t="s">
        <v>82</v>
      </c>
      <c r="D69" s="71"/>
      <c r="E69" s="72">
        <v>2010</v>
      </c>
    </row>
    <row r="70" spans="1:5" x14ac:dyDescent="0.25">
      <c r="A70" s="65">
        <v>69</v>
      </c>
      <c r="B70" s="70" t="s">
        <v>163</v>
      </c>
      <c r="C70" s="70" t="s">
        <v>80</v>
      </c>
      <c r="D70" s="71"/>
      <c r="E70" s="72">
        <v>2010</v>
      </c>
    </row>
    <row r="71" spans="1:5" x14ac:dyDescent="0.25">
      <c r="A71" s="65">
        <v>70</v>
      </c>
      <c r="B71" s="70" t="s">
        <v>164</v>
      </c>
      <c r="C71" s="70" t="s">
        <v>67</v>
      </c>
      <c r="D71" s="71"/>
      <c r="E71" s="72">
        <v>2010</v>
      </c>
    </row>
    <row r="72" spans="1:5" x14ac:dyDescent="0.25">
      <c r="A72" s="65">
        <v>71</v>
      </c>
      <c r="B72" s="70" t="s">
        <v>165</v>
      </c>
      <c r="C72" s="70" t="s">
        <v>87</v>
      </c>
      <c r="D72" s="71" t="s">
        <v>83</v>
      </c>
      <c r="E72" s="72">
        <v>2009</v>
      </c>
    </row>
    <row r="73" spans="1:5" x14ac:dyDescent="0.25">
      <c r="A73" s="65">
        <v>72</v>
      </c>
      <c r="B73" s="70" t="s">
        <v>166</v>
      </c>
      <c r="C73" s="70" t="s">
        <v>66</v>
      </c>
      <c r="D73" s="71"/>
      <c r="E73" s="72">
        <v>2009</v>
      </c>
    </row>
    <row r="74" spans="1:5" x14ac:dyDescent="0.25">
      <c r="A74" s="65">
        <v>73</v>
      </c>
      <c r="B74" s="70" t="s">
        <v>167</v>
      </c>
      <c r="C74" s="70" t="s">
        <v>66</v>
      </c>
      <c r="D74" s="71"/>
      <c r="E74" s="72">
        <v>2004</v>
      </c>
    </row>
    <row r="75" spans="1:5" x14ac:dyDescent="0.25">
      <c r="A75" s="65">
        <v>74</v>
      </c>
      <c r="B75" s="70" t="s">
        <v>168</v>
      </c>
      <c r="C75" s="70" t="s">
        <v>66</v>
      </c>
      <c r="D75" s="71"/>
      <c r="E75" s="72">
        <v>2002</v>
      </c>
    </row>
    <row r="76" spans="1:5" x14ac:dyDescent="0.25">
      <c r="A76" s="65">
        <v>75</v>
      </c>
      <c r="B76" s="70" t="s">
        <v>169</v>
      </c>
      <c r="C76" s="70" t="s">
        <v>80</v>
      </c>
      <c r="D76" s="71"/>
      <c r="E76" s="72">
        <v>2000</v>
      </c>
    </row>
    <row r="77" spans="1:5" x14ac:dyDescent="0.25">
      <c r="A77" s="65">
        <v>76</v>
      </c>
      <c r="B77" s="70" t="s">
        <v>170</v>
      </c>
      <c r="C77" s="70" t="s">
        <v>88</v>
      </c>
      <c r="D77" s="71"/>
      <c r="E77" s="72">
        <v>1999</v>
      </c>
    </row>
    <row r="78" spans="1:5" x14ac:dyDescent="0.25">
      <c r="A78" s="65">
        <v>77</v>
      </c>
      <c r="B78" s="70" t="s">
        <v>171</v>
      </c>
      <c r="C78" s="70" t="s">
        <v>66</v>
      </c>
      <c r="D78" s="71"/>
      <c r="E78" s="72">
        <v>1996</v>
      </c>
    </row>
    <row r="79" spans="1:5" x14ac:dyDescent="0.25">
      <c r="A79" s="65">
        <v>78</v>
      </c>
      <c r="B79" s="70" t="s">
        <v>172</v>
      </c>
      <c r="C79" s="70" t="s">
        <v>66</v>
      </c>
      <c r="D79" s="71"/>
      <c r="E79" s="72">
        <v>1994</v>
      </c>
    </row>
    <row r="80" spans="1:5" x14ac:dyDescent="0.25">
      <c r="A80" s="65">
        <v>79</v>
      </c>
      <c r="B80" s="70" t="s">
        <v>173</v>
      </c>
      <c r="C80" s="70" t="s">
        <v>64</v>
      </c>
      <c r="D80" s="71"/>
      <c r="E80" s="72" t="s">
        <v>77</v>
      </c>
    </row>
    <row r="81" spans="1:5" x14ac:dyDescent="0.25">
      <c r="A81" s="65">
        <v>80</v>
      </c>
      <c r="B81" s="70" t="s">
        <v>174</v>
      </c>
      <c r="C81" s="70" t="s">
        <v>85</v>
      </c>
      <c r="D81" s="71"/>
      <c r="E81" s="72">
        <v>1978</v>
      </c>
    </row>
    <row r="82" spans="1:5" x14ac:dyDescent="0.25">
      <c r="A82" s="65">
        <v>81</v>
      </c>
      <c r="B82" s="70" t="s">
        <v>175</v>
      </c>
      <c r="C82" s="70" t="s">
        <v>29</v>
      </c>
      <c r="D82" s="71"/>
      <c r="E82" s="72">
        <v>1973</v>
      </c>
    </row>
    <row r="83" spans="1:5" x14ac:dyDescent="0.25">
      <c r="A83" s="65">
        <v>82</v>
      </c>
      <c r="B83" s="70" t="s">
        <v>176</v>
      </c>
      <c r="C83" s="70" t="s">
        <v>66</v>
      </c>
      <c r="D83" s="71"/>
      <c r="E83" s="72">
        <v>1953</v>
      </c>
    </row>
    <row r="84" spans="1:5" x14ac:dyDescent="0.25">
      <c r="A84" s="65">
        <v>83</v>
      </c>
      <c r="B84" s="70" t="s">
        <v>177</v>
      </c>
      <c r="C84" s="70" t="s">
        <v>64</v>
      </c>
      <c r="D84" s="71"/>
      <c r="E84" s="72" t="s">
        <v>77</v>
      </c>
    </row>
    <row r="85" spans="1:5" x14ac:dyDescent="0.25">
      <c r="A85" s="65">
        <v>84</v>
      </c>
      <c r="B85" s="70" t="s">
        <v>178</v>
      </c>
      <c r="C85" s="70" t="s">
        <v>66</v>
      </c>
      <c r="D85" s="71"/>
      <c r="E85" s="72">
        <v>1942</v>
      </c>
    </row>
    <row r="86" spans="1:5" x14ac:dyDescent="0.25">
      <c r="A86" s="65">
        <v>85</v>
      </c>
      <c r="B86" s="70" t="s">
        <v>179</v>
      </c>
      <c r="C86" s="70" t="s">
        <v>66</v>
      </c>
      <c r="D86" s="71"/>
      <c r="E86" s="72">
        <v>1939</v>
      </c>
    </row>
    <row r="87" spans="1:5" x14ac:dyDescent="0.25">
      <c r="A87" s="65">
        <v>86</v>
      </c>
      <c r="B87" s="70" t="s">
        <v>180</v>
      </c>
      <c r="C87" s="70" t="s">
        <v>64</v>
      </c>
      <c r="D87" s="71"/>
      <c r="E87" s="72" t="s">
        <v>77</v>
      </c>
    </row>
    <row r="88" spans="1:5" x14ac:dyDescent="0.25">
      <c r="A88" s="65">
        <v>87</v>
      </c>
      <c r="B88" s="70" t="s">
        <v>181</v>
      </c>
      <c r="C88" s="70" t="s">
        <v>66</v>
      </c>
      <c r="D88" s="71"/>
      <c r="E88" s="72">
        <v>1934</v>
      </c>
    </row>
    <row r="89" spans="1:5" x14ac:dyDescent="0.25">
      <c r="A89" s="65">
        <v>88</v>
      </c>
      <c r="B89" s="70" t="s">
        <v>182</v>
      </c>
      <c r="C89" s="70" t="s">
        <v>66</v>
      </c>
      <c r="D89" s="71"/>
      <c r="E89" s="72">
        <v>1928</v>
      </c>
    </row>
    <row r="90" spans="1:5" x14ac:dyDescent="0.25">
      <c r="A90" s="65">
        <v>89</v>
      </c>
      <c r="B90" s="70" t="s">
        <v>183</v>
      </c>
      <c r="C90" s="70" t="s">
        <v>24</v>
      </c>
      <c r="D90" s="71"/>
      <c r="E90" s="72">
        <v>1881</v>
      </c>
    </row>
    <row r="91" spans="1:5" x14ac:dyDescent="0.25">
      <c r="A91" s="65">
        <v>90</v>
      </c>
      <c r="B91" s="70" t="s">
        <v>184</v>
      </c>
      <c r="C91" s="70" t="s">
        <v>66</v>
      </c>
      <c r="D91" s="71"/>
      <c r="E91" s="72">
        <v>1874</v>
      </c>
    </row>
    <row r="92" spans="1:5" x14ac:dyDescent="0.25">
      <c r="A92" s="65">
        <v>91</v>
      </c>
      <c r="B92" s="70" t="s">
        <v>185</v>
      </c>
      <c r="C92" s="70" t="s">
        <v>66</v>
      </c>
      <c r="D92" s="71"/>
      <c r="E92" s="72">
        <v>1869</v>
      </c>
    </row>
    <row r="93" spans="1:5" x14ac:dyDescent="0.25">
      <c r="A93" s="65">
        <v>92</v>
      </c>
      <c r="B93" s="70" t="s">
        <v>186</v>
      </c>
      <c r="C93" s="70" t="s">
        <v>66</v>
      </c>
      <c r="D93" s="71"/>
      <c r="E93" s="72">
        <v>1863</v>
      </c>
    </row>
    <row r="94" spans="1:5" x14ac:dyDescent="0.25">
      <c r="A94" s="65">
        <v>93</v>
      </c>
      <c r="B94" s="70" t="s">
        <v>187</v>
      </c>
      <c r="C94" s="70" t="s">
        <v>66</v>
      </c>
      <c r="D94" s="71"/>
      <c r="E94" s="72">
        <v>1842</v>
      </c>
    </row>
    <row r="95" spans="1:5" x14ac:dyDescent="0.25">
      <c r="A95" s="65">
        <v>94</v>
      </c>
      <c r="B95" s="70" t="s">
        <v>188</v>
      </c>
      <c r="C95" s="70" t="s">
        <v>82</v>
      </c>
      <c r="D95" s="71"/>
      <c r="E95" s="72">
        <v>1831</v>
      </c>
    </row>
    <row r="96" spans="1:5" x14ac:dyDescent="0.25">
      <c r="A96" s="65">
        <v>95</v>
      </c>
      <c r="B96" s="70" t="s">
        <v>189</v>
      </c>
      <c r="C96" s="70" t="s">
        <v>66</v>
      </c>
      <c r="D96" s="71"/>
      <c r="E96" s="72">
        <v>1798</v>
      </c>
    </row>
    <row r="97" spans="1:5" x14ac:dyDescent="0.25">
      <c r="A97" s="19">
        <v>96</v>
      </c>
      <c r="B97" s="70" t="s">
        <v>190</v>
      </c>
      <c r="C97" s="70" t="s">
        <v>66</v>
      </c>
      <c r="D97" s="71"/>
      <c r="E97" s="72">
        <v>1793</v>
      </c>
    </row>
    <row r="98" spans="1:5" x14ac:dyDescent="0.25">
      <c r="A98" s="19">
        <v>97</v>
      </c>
      <c r="B98" s="70" t="s">
        <v>191</v>
      </c>
      <c r="C98" s="70" t="s">
        <v>66</v>
      </c>
      <c r="D98" s="71"/>
      <c r="E98" s="72">
        <v>1763</v>
      </c>
    </row>
    <row r="99" spans="1:5" x14ac:dyDescent="0.25">
      <c r="A99" s="19">
        <v>98</v>
      </c>
      <c r="B99" s="70" t="s">
        <v>192</v>
      </c>
      <c r="C99" s="70" t="s">
        <v>89</v>
      </c>
      <c r="D99" s="71"/>
      <c r="E99" s="72">
        <v>1761</v>
      </c>
    </row>
    <row r="100" spans="1:5" x14ac:dyDescent="0.25">
      <c r="A100" s="19">
        <v>99</v>
      </c>
      <c r="B100" s="70" t="s">
        <v>193</v>
      </c>
      <c r="C100" s="70" t="s">
        <v>78</v>
      </c>
      <c r="D100" s="71"/>
      <c r="E100" s="72">
        <v>1723</v>
      </c>
    </row>
    <row r="101" spans="1:5" x14ac:dyDescent="0.25">
      <c r="A101" s="19">
        <v>100</v>
      </c>
      <c r="B101" s="70" t="s">
        <v>194</v>
      </c>
      <c r="C101" s="70" t="s">
        <v>66</v>
      </c>
      <c r="D101" s="71"/>
      <c r="E101" s="72">
        <v>1722</v>
      </c>
    </row>
    <row r="102" spans="1:5" x14ac:dyDescent="0.25">
      <c r="A102" s="19">
        <v>101</v>
      </c>
      <c r="B102" s="70" t="s">
        <v>195</v>
      </c>
      <c r="C102" s="70" t="s">
        <v>66</v>
      </c>
      <c r="D102" s="71"/>
      <c r="E102" s="72">
        <v>1686</v>
      </c>
    </row>
    <row r="103" spans="1:5" x14ac:dyDescent="0.25">
      <c r="A103" s="19">
        <v>102</v>
      </c>
      <c r="B103" s="70" t="s">
        <v>196</v>
      </c>
      <c r="C103" s="70" t="s">
        <v>84</v>
      </c>
      <c r="D103" s="71"/>
      <c r="E103" s="72">
        <v>1685</v>
      </c>
    </row>
    <row r="104" spans="1:5" x14ac:dyDescent="0.25">
      <c r="A104" s="19">
        <v>103</v>
      </c>
      <c r="B104" s="70" t="s">
        <v>197</v>
      </c>
      <c r="C104" s="70" t="s">
        <v>82</v>
      </c>
      <c r="D104" s="71"/>
      <c r="E104" s="72">
        <v>1598</v>
      </c>
    </row>
    <row r="105" spans="1:5" x14ac:dyDescent="0.25">
      <c r="A105" s="19">
        <v>104</v>
      </c>
      <c r="B105" s="70" t="s">
        <v>198</v>
      </c>
      <c r="C105" s="70" t="s">
        <v>66</v>
      </c>
      <c r="D105" s="71"/>
      <c r="E105" s="72">
        <v>1574</v>
      </c>
    </row>
    <row r="106" spans="1:5" x14ac:dyDescent="0.25">
      <c r="A106" s="19">
        <v>105</v>
      </c>
      <c r="B106" s="70" t="s">
        <v>199</v>
      </c>
      <c r="C106" s="70" t="s">
        <v>72</v>
      </c>
      <c r="D106" s="71"/>
      <c r="E106" s="72" t="s">
        <v>90</v>
      </c>
    </row>
    <row r="107" spans="1:5" x14ac:dyDescent="0.25">
      <c r="A107" s="19">
        <v>106</v>
      </c>
      <c r="B107" s="70" t="s">
        <v>200</v>
      </c>
      <c r="C107" s="70" t="s">
        <v>68</v>
      </c>
      <c r="D107" s="71"/>
      <c r="E107" s="72">
        <v>1981</v>
      </c>
    </row>
    <row r="108" spans="1:5" x14ac:dyDescent="0.25">
      <c r="A108" s="19">
        <v>107</v>
      </c>
      <c r="B108" s="70" t="s">
        <v>201</v>
      </c>
      <c r="C108" s="70" t="s">
        <v>66</v>
      </c>
      <c r="D108" s="71"/>
      <c r="E108" s="72">
        <v>2080</v>
      </c>
    </row>
    <row r="109" spans="1:5" x14ac:dyDescent="0.25">
      <c r="A109" s="19">
        <v>108</v>
      </c>
      <c r="B109" s="70" t="s">
        <v>202</v>
      </c>
      <c r="C109" s="70" t="s">
        <v>66</v>
      </c>
      <c r="D109" s="71"/>
      <c r="E109" s="72">
        <v>1621</v>
      </c>
    </row>
    <row r="110" spans="1:5" x14ac:dyDescent="0.25">
      <c r="A110" s="19">
        <v>109</v>
      </c>
      <c r="B110" s="70" t="s">
        <v>203</v>
      </c>
      <c r="C110" s="70" t="s">
        <v>66</v>
      </c>
      <c r="D110" s="71"/>
      <c r="E110" s="72">
        <v>1845</v>
      </c>
    </row>
    <row r="111" spans="1:5" x14ac:dyDescent="0.25">
      <c r="A111" s="19">
        <v>110</v>
      </c>
      <c r="B111" s="70" t="s">
        <v>204</v>
      </c>
      <c r="C111" s="70" t="s">
        <v>66</v>
      </c>
      <c r="D111" s="71"/>
      <c r="E111" s="72">
        <v>2016</v>
      </c>
    </row>
    <row r="112" spans="1:5" x14ac:dyDescent="0.25">
      <c r="A112" s="19">
        <v>111</v>
      </c>
      <c r="B112" s="70" t="s">
        <v>205</v>
      </c>
      <c r="C112" s="70" t="s">
        <v>66</v>
      </c>
      <c r="D112" s="71"/>
      <c r="E112" s="72">
        <v>1642</v>
      </c>
    </row>
    <row r="113" spans="1:5" x14ac:dyDescent="0.25">
      <c r="A113" s="19">
        <v>1000</v>
      </c>
      <c r="B113" s="73" t="s">
        <v>15</v>
      </c>
      <c r="C113" s="73" t="s">
        <v>15</v>
      </c>
      <c r="D113" t="s">
        <v>15</v>
      </c>
      <c r="E113" s="74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3"/>
  <sheetViews>
    <sheetView zoomScale="78" zoomScaleNormal="78" workbookViewId="0">
      <selection activeCell="D2" sqref="D2:D10"/>
    </sheetView>
  </sheetViews>
  <sheetFormatPr defaultRowHeight="15" x14ac:dyDescent="0.25"/>
  <cols>
    <col min="1" max="1" width="3.85546875" style="10" customWidth="1"/>
    <col min="2" max="2" width="5" bestFit="1" customWidth="1"/>
    <col min="8" max="13" width="7.7109375" bestFit="1" customWidth="1"/>
    <col min="15" max="18" width="7" bestFit="1" customWidth="1"/>
  </cols>
  <sheetData>
    <row r="1" spans="1:25" ht="30.75" thickBot="1" x14ac:dyDescent="0.3">
      <c r="A1" s="12" t="s">
        <v>36</v>
      </c>
      <c r="B1" s="43" t="s">
        <v>18</v>
      </c>
      <c r="C1" s="43" t="s">
        <v>10</v>
      </c>
      <c r="D1" s="43" t="s">
        <v>31</v>
      </c>
      <c r="E1" s="43" t="s">
        <v>17</v>
      </c>
      <c r="F1" s="43" t="s">
        <v>34</v>
      </c>
      <c r="G1" s="43" t="s">
        <v>11</v>
      </c>
      <c r="H1" s="41"/>
      <c r="I1" s="82" t="s">
        <v>8</v>
      </c>
      <c r="J1" s="82"/>
      <c r="K1" s="43"/>
      <c r="L1" s="44" t="s">
        <v>35</v>
      </c>
      <c r="M1" s="43" t="s">
        <v>92</v>
      </c>
    </row>
    <row r="2" spans="1:25" ht="21" customHeight="1" thickBot="1" x14ac:dyDescent="0.3">
      <c r="A2" s="10">
        <v>1</v>
      </c>
      <c r="B2">
        <v>43</v>
      </c>
      <c r="C2">
        <f>IF(D2=0,1000,D2)</f>
        <v>2188</v>
      </c>
      <c r="D2">
        <f>LOOKUP(B2,Data!$A$2:$A$174,Data!$E$2:$E$174)</f>
        <v>2188</v>
      </c>
      <c r="E2" t="str">
        <f>LOOKUP(B2,Data!$A$2:$A$174,Data!$C$2:$C$174)</f>
        <v>ENG</v>
      </c>
      <c r="F2">
        <f>LOOKUP(B2,Data!$A$2:$A$174,Data!$D$2:$D$174)</f>
        <v>0</v>
      </c>
      <c r="G2">
        <v>1</v>
      </c>
      <c r="H2" s="42"/>
      <c r="I2" s="1" t="s">
        <v>0</v>
      </c>
      <c r="J2" s="1">
        <v>2200</v>
      </c>
      <c r="N2" s="23" t="s">
        <v>30</v>
      </c>
      <c r="O2" s="24">
        <f>MIN(C2:C14)</f>
        <v>2009</v>
      </c>
      <c r="P2" s="16"/>
      <c r="Q2" s="16"/>
      <c r="R2" s="16"/>
      <c r="S2" s="60"/>
      <c r="Y2">
        <f>IF(C2=" ",0,1)</f>
        <v>1</v>
      </c>
    </row>
    <row r="3" spans="1:25" ht="21.75" thickBot="1" x14ac:dyDescent="0.3">
      <c r="A3" s="10">
        <v>2</v>
      </c>
      <c r="B3">
        <v>2</v>
      </c>
      <c r="C3">
        <f t="shared" ref="C3:C14" si="0">IF(D3=0,1000,D3)</f>
        <v>2659</v>
      </c>
      <c r="D3">
        <f>LOOKUP(B3,Data!$A$2:$A$174,Data!$E$2:$E$174)</f>
        <v>2659</v>
      </c>
      <c r="E3" t="str">
        <f>LOOKUP(B3,Data!$A$2:$A$174,Data!$C$2:$C$174)</f>
        <v>FRA</v>
      </c>
      <c r="F3" t="str">
        <f>LOOKUP(B3,Data!$A$2:$A$174,Data!$D$2:$D$174)</f>
        <v>GM</v>
      </c>
      <c r="G3">
        <v>1</v>
      </c>
      <c r="I3" s="1" t="s">
        <v>1</v>
      </c>
      <c r="J3" s="1">
        <v>2050</v>
      </c>
      <c r="N3" s="25" t="s">
        <v>33</v>
      </c>
      <c r="O3" s="26">
        <f>IF(M1="GM",J2,IF(M1="IM",J3,IF(M1="WGM",J4,J5)))</f>
        <v>2050</v>
      </c>
      <c r="P3" s="17"/>
      <c r="Q3" s="17"/>
      <c r="R3" s="17"/>
      <c r="S3" s="60"/>
      <c r="Y3">
        <f t="shared" ref="Y3:Y14" si="1">IF(C3=" ",0,1)</f>
        <v>1</v>
      </c>
    </row>
    <row r="4" spans="1:25" ht="15.75" thickBot="1" x14ac:dyDescent="0.3">
      <c r="A4" s="10">
        <v>3</v>
      </c>
      <c r="B4">
        <v>71</v>
      </c>
      <c r="C4">
        <f t="shared" si="0"/>
        <v>2009</v>
      </c>
      <c r="D4">
        <f>LOOKUP(B4,Data!$A$2:$A$174,Data!$E$2:$E$174)</f>
        <v>2009</v>
      </c>
      <c r="E4" t="str">
        <f>LOOKUP(B4,Data!$A$2:$A$174,Data!$C$2:$C$174)</f>
        <v>LTU</v>
      </c>
      <c r="F4" t="str">
        <f>LOOKUP(B4,Data!$A$2:$A$174,Data!$D$2:$D$174)</f>
        <v>WFM</v>
      </c>
      <c r="G4">
        <v>0</v>
      </c>
      <c r="I4" s="1" t="s">
        <v>2</v>
      </c>
      <c r="J4" s="1">
        <v>2000</v>
      </c>
      <c r="N4" s="17"/>
      <c r="O4" s="17"/>
      <c r="P4" s="17"/>
      <c r="Q4" s="17"/>
      <c r="R4" s="17"/>
      <c r="S4" s="60"/>
      <c r="Y4">
        <f t="shared" si="1"/>
        <v>1</v>
      </c>
    </row>
    <row r="5" spans="1:25" ht="15.75" thickBot="1" x14ac:dyDescent="0.3">
      <c r="A5" s="10">
        <v>4</v>
      </c>
      <c r="B5">
        <v>51</v>
      </c>
      <c r="C5">
        <f t="shared" si="0"/>
        <v>2145</v>
      </c>
      <c r="D5">
        <f>LOOKUP(B5,Data!$A$2:$A$174,Data!$E$2:$E$174)</f>
        <v>2145</v>
      </c>
      <c r="E5" t="str">
        <f>LOOKUP(B5,Data!$A$2:$A$174,Data!$C$2:$C$174)</f>
        <v>ENG</v>
      </c>
      <c r="F5">
        <f>LOOKUP(B5,Data!$A$2:$A$174,Data!$D$2:$D$174)</f>
        <v>0</v>
      </c>
      <c r="G5">
        <v>1</v>
      </c>
      <c r="I5" s="1" t="s">
        <v>3</v>
      </c>
      <c r="J5" s="1">
        <v>1850</v>
      </c>
      <c r="N5" s="17"/>
      <c r="O5" s="17"/>
      <c r="P5" s="17"/>
      <c r="Q5" s="17"/>
      <c r="R5" s="17"/>
      <c r="S5" s="60"/>
      <c r="Y5">
        <f t="shared" si="1"/>
        <v>1</v>
      </c>
    </row>
    <row r="6" spans="1:25" ht="15.75" thickBot="1" x14ac:dyDescent="0.3">
      <c r="A6" s="10">
        <v>5</v>
      </c>
      <c r="B6">
        <v>33</v>
      </c>
      <c r="C6">
        <f t="shared" si="0"/>
        <v>2271</v>
      </c>
      <c r="D6">
        <f>LOOKUP(B6,Data!$A$2:$A$174,Data!$E$2:$E$174)</f>
        <v>2271</v>
      </c>
      <c r="E6" t="str">
        <f>LOOKUP(B6,Data!$A$2:$A$174,Data!$C$2:$C$174)</f>
        <v>USA</v>
      </c>
      <c r="F6" t="str">
        <f>LOOKUP(B6,Data!$A$2:$A$174,Data!$D$2:$D$174)</f>
        <v>IM</v>
      </c>
      <c r="G6">
        <v>0</v>
      </c>
      <c r="N6" s="17"/>
      <c r="O6" s="17"/>
      <c r="P6" s="17"/>
      <c r="Q6" s="17"/>
      <c r="R6" s="17"/>
      <c r="S6" s="60"/>
      <c r="Y6">
        <f t="shared" si="1"/>
        <v>1</v>
      </c>
    </row>
    <row r="7" spans="1:25" ht="15.75" thickBot="1" x14ac:dyDescent="0.3">
      <c r="A7" s="10">
        <v>6</v>
      </c>
      <c r="B7">
        <v>4</v>
      </c>
      <c r="C7">
        <f t="shared" ref="C7" si="2">IF(D7=0,1000,D7)</f>
        <v>2592</v>
      </c>
      <c r="D7">
        <f>LOOKUP(B7,Data!$A$2:$A$174,Data!$E$2:$E$174)</f>
        <v>2592</v>
      </c>
      <c r="E7" t="str">
        <f>LOOKUP(B7,Data!$A$2:$A$174,Data!$C$2:$C$174)</f>
        <v>BRA</v>
      </c>
      <c r="F7" t="str">
        <f>LOOKUP(B7,Data!$A$2:$A$174,Data!$D$2:$D$174)</f>
        <v>GM</v>
      </c>
      <c r="G7">
        <v>1</v>
      </c>
      <c r="H7" s="83" t="s">
        <v>13</v>
      </c>
      <c r="I7" s="84"/>
      <c r="J7" s="84"/>
      <c r="K7" s="84"/>
      <c r="L7" s="84"/>
      <c r="M7" s="84"/>
      <c r="N7" s="27"/>
      <c r="O7" s="27"/>
      <c r="P7" s="28"/>
      <c r="Q7" s="17"/>
      <c r="R7" s="17"/>
      <c r="S7" s="60"/>
      <c r="Y7">
        <f t="shared" si="1"/>
        <v>1</v>
      </c>
    </row>
    <row r="8" spans="1:25" ht="15.75" thickBot="1" x14ac:dyDescent="0.3">
      <c r="A8" s="10">
        <v>7</v>
      </c>
      <c r="B8">
        <v>3</v>
      </c>
      <c r="C8">
        <f t="shared" si="0"/>
        <v>2614</v>
      </c>
      <c r="D8">
        <f>LOOKUP(B8,Data!$A$2:$A$174,Data!$E$2:$E$174)</f>
        <v>2614</v>
      </c>
      <c r="E8" t="str">
        <f>LOOKUP(B8,Data!$A$2:$A$174,Data!$C$2:$C$174)</f>
        <v>POL</v>
      </c>
      <c r="F8" t="str">
        <f>LOOKUP(B8,Data!$A$2:$A$174,Data!$D$2:$D$174)</f>
        <v>GM</v>
      </c>
      <c r="G8">
        <v>0</v>
      </c>
      <c r="H8" s="29" t="s">
        <v>4</v>
      </c>
      <c r="I8" s="34" t="s">
        <v>5</v>
      </c>
      <c r="J8" s="30" t="s">
        <v>6</v>
      </c>
      <c r="K8" s="34" t="s">
        <v>7</v>
      </c>
      <c r="L8" s="30" t="s">
        <v>9</v>
      </c>
      <c r="M8" s="35">
        <v>4.5</v>
      </c>
      <c r="N8" s="31">
        <v>4</v>
      </c>
      <c r="O8" s="32">
        <v>3.5</v>
      </c>
      <c r="P8" s="33"/>
      <c r="Q8" s="17"/>
      <c r="R8" s="17"/>
      <c r="S8" s="60"/>
      <c r="Y8">
        <f t="shared" si="1"/>
        <v>1</v>
      </c>
    </row>
    <row r="9" spans="1:25" ht="15.75" thickBot="1" x14ac:dyDescent="0.3">
      <c r="A9" s="10">
        <v>8</v>
      </c>
      <c r="B9">
        <v>40</v>
      </c>
      <c r="C9">
        <f t="shared" si="0"/>
        <v>2223</v>
      </c>
      <c r="D9">
        <f>LOOKUP(B9,Data!$A$2:$A$174,Data!$E$2:$E$174)</f>
        <v>2223</v>
      </c>
      <c r="E9" t="str">
        <f>LOOKUP(B9,Data!$A$2:$A$174,Data!$C$2:$C$174)</f>
        <v>ISR</v>
      </c>
      <c r="F9">
        <f>LOOKUP(B9,Data!$A$2:$A$174,Data!$D$2:$D$174)</f>
        <v>0</v>
      </c>
      <c r="G9">
        <v>0.5</v>
      </c>
      <c r="H9" s="4">
        <f>9*2379.5-$C$16</f>
        <v>150.5</v>
      </c>
      <c r="I9" s="21">
        <f>9*2433.5-$C$16</f>
        <v>636.5</v>
      </c>
      <c r="J9" s="5">
        <f>9*2474.5-$C$16</f>
        <v>1005.5</v>
      </c>
      <c r="K9" s="69">
        <f>9*2519.5-$C$16</f>
        <v>1410.5</v>
      </c>
      <c r="L9" s="5">
        <f>9*2556.5-$C$16</f>
        <v>1743.5</v>
      </c>
      <c r="M9" s="21">
        <f>9*2599.5-$C$16</f>
        <v>2130.5</v>
      </c>
      <c r="N9" s="5">
        <f>9*2642.5-$C$16</f>
        <v>2517.5</v>
      </c>
      <c r="O9" s="21">
        <f>9*2679.5-$C$16</f>
        <v>2850.5</v>
      </c>
      <c r="P9" s="2" t="s">
        <v>0</v>
      </c>
      <c r="Q9" s="17"/>
      <c r="R9" s="17"/>
      <c r="S9" s="60"/>
      <c r="Y9">
        <f t="shared" si="1"/>
        <v>1</v>
      </c>
    </row>
    <row r="10" spans="1:25" ht="15.75" thickBot="1" x14ac:dyDescent="0.3">
      <c r="A10" s="10">
        <v>9</v>
      </c>
      <c r="B10">
        <v>10</v>
      </c>
      <c r="C10">
        <f t="shared" si="0"/>
        <v>2523</v>
      </c>
      <c r="D10">
        <f>LOOKUP(B10,Data!$A$2:$A$174,Data!$E$2:$E$174)</f>
        <v>2523</v>
      </c>
      <c r="E10" t="str">
        <f>LOOKUP(B10,Data!$A$2:$A$174,Data!$C$2:$C$174)</f>
        <v>ENG</v>
      </c>
      <c r="F10" t="str">
        <f>LOOKUP(B10,Data!$A$2:$A$174,Data!$D$2:$D$174)</f>
        <v>GM</v>
      </c>
      <c r="G10">
        <v>1</v>
      </c>
      <c r="H10" s="4">
        <f>9*2229.5-$C$16</f>
        <v>-1199.5</v>
      </c>
      <c r="I10" s="21">
        <f>9*2283.5-$C$16</f>
        <v>-713.5</v>
      </c>
      <c r="J10" s="5">
        <f>9*2324.5-$C$16</f>
        <v>-344.5</v>
      </c>
      <c r="K10" s="21">
        <f>9*2369.5-$C$16</f>
        <v>60.5</v>
      </c>
      <c r="L10" s="5">
        <f>9*2406.5-$C$16</f>
        <v>393.5</v>
      </c>
      <c r="M10" s="21">
        <f>9*2449.5-$C$16</f>
        <v>780.5</v>
      </c>
      <c r="N10" s="5">
        <f>9*2492.5-$C$16</f>
        <v>1167.5</v>
      </c>
      <c r="O10" s="21">
        <f>9*2529.5-$C$16</f>
        <v>1500.5</v>
      </c>
      <c r="P10" s="2" t="s">
        <v>1</v>
      </c>
      <c r="Q10" s="17"/>
      <c r="R10" s="17"/>
      <c r="S10" s="60"/>
      <c r="Y10">
        <f t="shared" si="1"/>
        <v>1</v>
      </c>
    </row>
    <row r="11" spans="1:25" x14ac:dyDescent="0.25">
      <c r="A11" s="10">
        <v>10</v>
      </c>
      <c r="B11">
        <v>1000</v>
      </c>
      <c r="C11" t="str">
        <f t="shared" si="0"/>
        <v xml:space="preserve"> </v>
      </c>
      <c r="D11" t="str">
        <f>LOOKUP(B11,Data!$A$2:$A$174,Data!$E$2:$E$174)</f>
        <v xml:space="preserve"> </v>
      </c>
      <c r="E11" t="str">
        <f>LOOKUP(B11,Data!$A$2:$A$174,Data!$C$2:$C$174)</f>
        <v xml:space="preserve"> </v>
      </c>
      <c r="F11" t="str">
        <f>LOOKUP(B11,Data!$A$2:$A$174,Data!$D$2:$D$174)</f>
        <v xml:space="preserve"> </v>
      </c>
      <c r="G11" t="s">
        <v>15</v>
      </c>
      <c r="H11" s="4">
        <f>9*2169.5-$C$16</f>
        <v>-1739.5</v>
      </c>
      <c r="I11" s="21">
        <f>9*2233.5-$C$16</f>
        <v>-1163.5</v>
      </c>
      <c r="J11" s="5">
        <f>9*2274.5-$C$16</f>
        <v>-794.5</v>
      </c>
      <c r="K11" s="21">
        <f>9*2319.5-$C$16</f>
        <v>-389.5</v>
      </c>
      <c r="L11" s="5">
        <f>9*2356.5-$C$16</f>
        <v>-56.5</v>
      </c>
      <c r="M11" s="21">
        <f>9*2399.5-$C$16</f>
        <v>330.5</v>
      </c>
      <c r="N11" s="5">
        <f>9*2442.5-$C$16</f>
        <v>717.5</v>
      </c>
      <c r="O11" s="21">
        <f>9*2479.5-$C$16</f>
        <v>1050.5</v>
      </c>
      <c r="P11" s="2" t="s">
        <v>2</v>
      </c>
      <c r="Y11">
        <f t="shared" si="1"/>
        <v>0</v>
      </c>
    </row>
    <row r="12" spans="1:25" ht="15.75" thickBot="1" x14ac:dyDescent="0.3">
      <c r="A12" s="10">
        <v>11</v>
      </c>
      <c r="B12">
        <v>1000</v>
      </c>
      <c r="C12" t="str">
        <f t="shared" si="0"/>
        <v xml:space="preserve"> </v>
      </c>
      <c r="D12" t="str">
        <f>LOOKUP(B12,Data!$A$2:$A$174,Data!$E$2:$E$174)</f>
        <v xml:space="preserve"> </v>
      </c>
      <c r="E12" t="str">
        <f>LOOKUP(B12,Data!$A$2:$A$174,Data!$C$2:$C$174)</f>
        <v xml:space="preserve"> </v>
      </c>
      <c r="F12" t="str">
        <f>LOOKUP(B12,Data!$A$2:$A$174,Data!$D$2:$D$174)</f>
        <v xml:space="preserve"> </v>
      </c>
      <c r="H12" s="6">
        <f>9*2029.5-$C$16</f>
        <v>-2999.5</v>
      </c>
      <c r="I12" s="22">
        <f>9*2083.5-$C$16</f>
        <v>-2513.5</v>
      </c>
      <c r="J12" s="7">
        <f>9*2124.5-$C$16</f>
        <v>-2144.5</v>
      </c>
      <c r="K12" s="21">
        <f>9*2169.5-$C$16</f>
        <v>-1739.5</v>
      </c>
      <c r="L12" s="7">
        <f>9*2206.5-$C$16</f>
        <v>-1406.5</v>
      </c>
      <c r="M12" s="22">
        <f>9*2249.5-$C$16</f>
        <v>-1019.5</v>
      </c>
      <c r="N12" s="7">
        <f>9*2292.5-$C$16</f>
        <v>-632.5</v>
      </c>
      <c r="O12" s="22">
        <f>9*2329.5-$C$16</f>
        <v>-299.5</v>
      </c>
      <c r="P12" s="3" t="s">
        <v>3</v>
      </c>
      <c r="Y12">
        <f t="shared" si="1"/>
        <v>0</v>
      </c>
    </row>
    <row r="13" spans="1:25" ht="15.75" thickBot="1" x14ac:dyDescent="0.3">
      <c r="A13" s="10">
        <v>12</v>
      </c>
      <c r="B13">
        <v>1000</v>
      </c>
      <c r="C13" t="str">
        <f t="shared" si="0"/>
        <v xml:space="preserve"> </v>
      </c>
      <c r="D13" t="str">
        <f>LOOKUP(B13,Data!$A$2:$A$174,Data!$E$2:$E$174)</f>
        <v xml:space="preserve"> </v>
      </c>
      <c r="E13" t="str">
        <f>LOOKUP(B13,Data!$A$2:$A$174,Data!$C$2:$C$174)</f>
        <v xml:space="preserve"> </v>
      </c>
      <c r="F13" t="str">
        <f>LOOKUP(B13,Data!$A$2:$A$174,Data!$D$2:$D$174)</f>
        <v xml:space="preserve"> </v>
      </c>
      <c r="H13" s="85" t="s">
        <v>14</v>
      </c>
      <c r="I13" s="80"/>
      <c r="J13" s="80"/>
      <c r="K13" s="80"/>
      <c r="L13" s="80"/>
      <c r="M13" s="80"/>
      <c r="N13" s="8"/>
      <c r="O13" s="8"/>
      <c r="P13" s="8"/>
      <c r="Q13" s="8"/>
      <c r="R13" s="9"/>
      <c r="Y13">
        <f t="shared" si="1"/>
        <v>0</v>
      </c>
    </row>
    <row r="14" spans="1:25" x14ac:dyDescent="0.25">
      <c r="A14" s="10">
        <v>13</v>
      </c>
      <c r="B14">
        <v>1000</v>
      </c>
      <c r="C14" t="str">
        <f t="shared" si="0"/>
        <v xml:space="preserve"> </v>
      </c>
      <c r="D14" t="str">
        <f>LOOKUP(B14,Data!$A$2:$A$174,Data!$E$2:$E$174)</f>
        <v xml:space="preserve"> </v>
      </c>
      <c r="E14" t="str">
        <f>LOOKUP(B14,Data!$A$2:$A$174,Data!$C$2:$C$174)</f>
        <v xml:space="preserve"> </v>
      </c>
      <c r="F14" t="str">
        <f>LOOKUP(B14,Data!$A$2:$A$174,Data!$D$2:$D$174)</f>
        <v xml:space="preserve"> </v>
      </c>
      <c r="H14" s="29">
        <v>8</v>
      </c>
      <c r="I14" s="34">
        <v>7.5</v>
      </c>
      <c r="J14" s="30">
        <v>7</v>
      </c>
      <c r="K14" s="34">
        <v>6.5</v>
      </c>
      <c r="L14" s="30">
        <v>6</v>
      </c>
      <c r="M14" s="34">
        <v>5.5</v>
      </c>
      <c r="N14" s="30">
        <v>5</v>
      </c>
      <c r="O14" s="34">
        <v>4.5</v>
      </c>
      <c r="P14" s="30">
        <v>4</v>
      </c>
      <c r="Q14" s="34">
        <v>3.5</v>
      </c>
      <c r="R14" s="40"/>
      <c r="Y14">
        <f t="shared" si="1"/>
        <v>0</v>
      </c>
    </row>
    <row r="15" spans="1:25" ht="15.75" thickBot="1" x14ac:dyDescent="0.3">
      <c r="A15" s="10" t="s">
        <v>19</v>
      </c>
      <c r="C15">
        <f>IF(O2&lt;O3,O3-O2,0)</f>
        <v>41</v>
      </c>
      <c r="H15" s="4">
        <f>10*2379.5-$C$16</f>
        <v>2530</v>
      </c>
      <c r="I15" s="13">
        <f>10*2406.5-$C$16</f>
        <v>2800</v>
      </c>
      <c r="J15" s="4">
        <f>10*2450.5-$C$16</f>
        <v>3240</v>
      </c>
      <c r="K15" s="13">
        <f>10*2489.5-$C$16</f>
        <v>3630</v>
      </c>
      <c r="L15" s="4">
        <f>10*2527.5-$C$16</f>
        <v>4010</v>
      </c>
      <c r="M15" s="13">
        <f>10*2563.5-$C$16</f>
        <v>4370</v>
      </c>
      <c r="N15" s="4">
        <f>10*2599.5-$C$16</f>
        <v>4730</v>
      </c>
      <c r="O15" s="13">
        <f>10*2635.5-$C$16</f>
        <v>5090</v>
      </c>
      <c r="P15" s="4">
        <f>10*2671.5-$C$16</f>
        <v>5450</v>
      </c>
      <c r="Q15" s="18">
        <f>10*2709.5-$C$16</f>
        <v>5830</v>
      </c>
      <c r="R15" s="2" t="s">
        <v>0</v>
      </c>
      <c r="Y15">
        <f>SUM(Y2:Y14)</f>
        <v>9</v>
      </c>
    </row>
    <row r="16" spans="1:25" ht="21.75" thickBot="1" x14ac:dyDescent="0.4">
      <c r="A16" s="77" t="s">
        <v>38</v>
      </c>
      <c r="B16" s="77"/>
      <c r="C16">
        <f>SUM(C2:C15)</f>
        <v>21265</v>
      </c>
      <c r="F16" s="50" t="s">
        <v>37</v>
      </c>
      <c r="G16" s="49">
        <f>SUM(G2:G14)</f>
        <v>5.5</v>
      </c>
      <c r="H16" s="4">
        <f>10*2229.5-$C$16</f>
        <v>1030</v>
      </c>
      <c r="I16" s="13">
        <f>10*2256.5-$C$16</f>
        <v>1300</v>
      </c>
      <c r="J16" s="4">
        <f>10*2300.5-$C$16</f>
        <v>1740</v>
      </c>
      <c r="K16" s="13">
        <f>10*2339.5-$C$16</f>
        <v>2130</v>
      </c>
      <c r="L16" s="4">
        <f>10*2377.5-$C$16</f>
        <v>2510</v>
      </c>
      <c r="M16" s="13">
        <f>10*2413.5-$C$16</f>
        <v>2870</v>
      </c>
      <c r="N16" s="4">
        <f>10*2449.5-$C$16</f>
        <v>3230</v>
      </c>
      <c r="O16" s="13">
        <f>10*2489.5-$C$16</f>
        <v>3630</v>
      </c>
      <c r="P16" s="4">
        <f>10*2521.5-$C$16</f>
        <v>3950</v>
      </c>
      <c r="Q16" s="13">
        <f>10*2559.5-$C$16</f>
        <v>4330</v>
      </c>
      <c r="R16" s="2" t="s">
        <v>1</v>
      </c>
    </row>
    <row r="17" spans="1:20" ht="15.75" thickBot="1" x14ac:dyDescent="0.3">
      <c r="A17" s="45" t="s">
        <v>32</v>
      </c>
      <c r="C17">
        <f>C16/Y15</f>
        <v>2362.7777777777778</v>
      </c>
      <c r="H17" s="4">
        <f>10*2179.5-$C$16</f>
        <v>530</v>
      </c>
      <c r="I17" s="13">
        <f>10*2206.5-$C$16</f>
        <v>800</v>
      </c>
      <c r="J17" s="4">
        <f>10*2250.5-$C$16</f>
        <v>1240</v>
      </c>
      <c r="K17" s="13">
        <f>10*2289.5-$C$16</f>
        <v>1630</v>
      </c>
      <c r="L17" s="4">
        <f>10*2327.5-$C$16</f>
        <v>2010</v>
      </c>
      <c r="M17" s="13">
        <f>10*2363.5-$C$16</f>
        <v>2370</v>
      </c>
      <c r="N17" s="4">
        <f>10*2399.5-$C$16</f>
        <v>2730</v>
      </c>
      <c r="O17" s="13">
        <f>10*2435.5-$C$16</f>
        <v>3090</v>
      </c>
      <c r="P17" s="4">
        <f>10*2471.5-$C$16</f>
        <v>3450</v>
      </c>
      <c r="Q17" s="13">
        <f>10*2509.5-$C$16</f>
        <v>3830</v>
      </c>
      <c r="R17" s="2" t="s">
        <v>2</v>
      </c>
    </row>
    <row r="18" spans="1:20" ht="15.75" thickBot="1" x14ac:dyDescent="0.3">
      <c r="A18" s="11"/>
      <c r="B18" s="57"/>
      <c r="C18" s="80" t="s">
        <v>63</v>
      </c>
      <c r="D18" s="80"/>
      <c r="E18" s="81"/>
      <c r="H18" s="6">
        <f>10*2029.5-$C$16</f>
        <v>-970</v>
      </c>
      <c r="I18" s="14">
        <f>10*2056.5-$C$16</f>
        <v>-700</v>
      </c>
      <c r="J18" s="6">
        <f>10*2100.5-$C$16</f>
        <v>-260</v>
      </c>
      <c r="K18" s="14">
        <f>10*2139.5-$C$16</f>
        <v>130</v>
      </c>
      <c r="L18" s="6">
        <f>10*2177.5-$C$16</f>
        <v>510</v>
      </c>
      <c r="M18" s="14">
        <f>10*2213.5-$C$16</f>
        <v>870</v>
      </c>
      <c r="N18" s="6">
        <f>10*2249.5-$C$16</f>
        <v>1230</v>
      </c>
      <c r="O18" s="14">
        <f>10*2285.5-$C$16</f>
        <v>1590</v>
      </c>
      <c r="P18" s="6">
        <f>10*2321.5-$C$16</f>
        <v>1950</v>
      </c>
      <c r="Q18" s="14">
        <f>10*2359.5-$C$16</f>
        <v>2330</v>
      </c>
      <c r="R18" s="3" t="s">
        <v>3</v>
      </c>
    </row>
    <row r="19" spans="1:20" ht="19.5" thickBot="1" x14ac:dyDescent="0.35">
      <c r="A19" s="58" t="s">
        <v>62</v>
      </c>
      <c r="B19" s="59">
        <v>15</v>
      </c>
      <c r="C19" s="78" t="s">
        <v>94</v>
      </c>
      <c r="D19" s="78"/>
      <c r="E19" s="79"/>
      <c r="H19" s="85" t="s">
        <v>16</v>
      </c>
      <c r="I19" s="80"/>
      <c r="J19" s="80"/>
      <c r="K19" s="80"/>
      <c r="L19" s="80"/>
      <c r="M19" s="80"/>
      <c r="N19" s="36"/>
      <c r="O19" s="36"/>
      <c r="P19" s="36"/>
      <c r="Q19" s="36"/>
      <c r="R19" s="36"/>
      <c r="S19" s="37"/>
      <c r="T19" s="10"/>
    </row>
    <row r="20" spans="1:20" x14ac:dyDescent="0.25">
      <c r="H20" s="29">
        <v>9</v>
      </c>
      <c r="I20" s="39">
        <v>8.5</v>
      </c>
      <c r="J20" s="47">
        <v>8</v>
      </c>
      <c r="K20" s="39">
        <v>7.5</v>
      </c>
      <c r="L20" s="46">
        <v>7</v>
      </c>
      <c r="M20" s="39">
        <v>6.5</v>
      </c>
      <c r="N20" s="46" t="s">
        <v>91</v>
      </c>
      <c r="O20" s="39">
        <v>5.5</v>
      </c>
      <c r="P20" s="46">
        <v>5</v>
      </c>
      <c r="Q20" s="39">
        <v>4.5</v>
      </c>
      <c r="R20" s="46">
        <v>4</v>
      </c>
      <c r="S20" s="9"/>
    </row>
    <row r="21" spans="1:20" x14ac:dyDescent="0.25">
      <c r="H21" s="4">
        <f>11*2379.5-$C$16</f>
        <v>4909.5</v>
      </c>
      <c r="I21" s="13">
        <f>11*2388.5-$C$16</f>
        <v>5008.5</v>
      </c>
      <c r="J21" s="4">
        <f>11*2424.5-$C$16</f>
        <v>5404.5</v>
      </c>
      <c r="K21" s="13">
        <f>11*2466.5-$C$16</f>
        <v>5866.5</v>
      </c>
      <c r="L21" s="4">
        <f>11*2497.5-$C$16</f>
        <v>6207.5</v>
      </c>
      <c r="M21" s="13">
        <f>11*2534.5-$C$16</f>
        <v>6614.5</v>
      </c>
      <c r="N21" s="4">
        <f>11*2563.5-$C$16</f>
        <v>6933.5</v>
      </c>
      <c r="O21" s="13">
        <f>11*2599.5-$C$16</f>
        <v>7329.5</v>
      </c>
      <c r="P21" s="4">
        <f>11*2635.5-$C$16</f>
        <v>7725.5</v>
      </c>
      <c r="Q21" s="13">
        <f>11*2664.5-$C$16</f>
        <v>8044.5</v>
      </c>
      <c r="R21" s="4">
        <f>11*2701.5-$C$16</f>
        <v>8451.5</v>
      </c>
      <c r="S21" s="2" t="s">
        <v>0</v>
      </c>
    </row>
    <row r="22" spans="1:20" x14ac:dyDescent="0.25">
      <c r="H22" s="4">
        <f>11*2229.5-$C$16</f>
        <v>3259.5</v>
      </c>
      <c r="I22" s="13">
        <f>11*2238.5-$C$16</f>
        <v>3358.5</v>
      </c>
      <c r="J22" s="4">
        <f>11*2274.5-$C$16</f>
        <v>3754.5</v>
      </c>
      <c r="K22" s="13">
        <f>11*2316.5-$C$16</f>
        <v>4216.5</v>
      </c>
      <c r="L22" s="4">
        <f>11*2347.5-$C$16</f>
        <v>4557.5</v>
      </c>
      <c r="M22" s="13">
        <f>11*2384.5-$C$16</f>
        <v>4964.5</v>
      </c>
      <c r="N22" s="4">
        <f>11*2413.5-$C$16</f>
        <v>5283.5</v>
      </c>
      <c r="O22" s="13">
        <f>11*2449.5-$C$16</f>
        <v>5679.5</v>
      </c>
      <c r="P22" s="4">
        <f>11*2485.5-$C$16</f>
        <v>6075.5</v>
      </c>
      <c r="Q22" s="13">
        <f>11*2514.5-$C$16</f>
        <v>6394.5</v>
      </c>
      <c r="R22" s="4">
        <f>11*2551.5-$C$16</f>
        <v>6801.5</v>
      </c>
      <c r="S22" s="2" t="s">
        <v>1</v>
      </c>
    </row>
    <row r="23" spans="1:20" x14ac:dyDescent="0.25">
      <c r="H23" s="4">
        <f>11*2179.5-$C$16</f>
        <v>2709.5</v>
      </c>
      <c r="I23" s="13">
        <f>11*2188.5-$C$16</f>
        <v>2808.5</v>
      </c>
      <c r="J23" s="4">
        <f>11*2224.5-$C$16</f>
        <v>3204.5</v>
      </c>
      <c r="K23" s="13">
        <f>11*2266.5-$C$16</f>
        <v>3666.5</v>
      </c>
      <c r="L23" s="4">
        <f>11*2297.5-$C$16</f>
        <v>4007.5</v>
      </c>
      <c r="M23" s="13">
        <f>11*2334.5-$C$16</f>
        <v>4414.5</v>
      </c>
      <c r="N23" s="4">
        <f>11*2363.5-$C$16</f>
        <v>4733.5</v>
      </c>
      <c r="O23" s="13">
        <f>11*2399.5-$C$16</f>
        <v>5129.5</v>
      </c>
      <c r="P23" s="4">
        <f>11*2435.5-$C$16</f>
        <v>5525.5</v>
      </c>
      <c r="Q23" s="13">
        <f>11*2464.5-$C$16</f>
        <v>5844.5</v>
      </c>
      <c r="R23" s="4">
        <f>11*2501.5-$C$16</f>
        <v>6251.5</v>
      </c>
      <c r="S23" s="2" t="s">
        <v>2</v>
      </c>
    </row>
    <row r="24" spans="1:20" ht="15.75" thickBot="1" x14ac:dyDescent="0.3">
      <c r="H24" s="6">
        <f>11*2029.5-$C$16</f>
        <v>1059.5</v>
      </c>
      <c r="I24" s="14">
        <f>11*2038.5-$C$16</f>
        <v>1158.5</v>
      </c>
      <c r="J24" s="6">
        <f>11*2074.5-$C$16</f>
        <v>1554.5</v>
      </c>
      <c r="K24" s="14">
        <f>11*2116.5-$C$16</f>
        <v>2016.5</v>
      </c>
      <c r="L24" s="6">
        <f>11*2147.5-$C$16</f>
        <v>2357.5</v>
      </c>
      <c r="M24" s="14">
        <f>11*2184.5-$C$16</f>
        <v>2764.5</v>
      </c>
      <c r="N24" s="6">
        <f>11*2213.5-$C$16</f>
        <v>3083.5</v>
      </c>
      <c r="O24" s="14">
        <f>11*2249.5-$C$16</f>
        <v>3479.5</v>
      </c>
      <c r="P24" s="6">
        <f>11*2285.5-$C$16</f>
        <v>3875.5</v>
      </c>
      <c r="Q24" s="14">
        <f>11*2314.5-$C$16</f>
        <v>4194.5</v>
      </c>
      <c r="R24" s="6">
        <f>11*2351.5-$C$16</f>
        <v>4601.5</v>
      </c>
      <c r="S24" s="3" t="s">
        <v>3</v>
      </c>
    </row>
    <row r="25" spans="1:20" x14ac:dyDescent="0.25">
      <c r="H25" s="15"/>
      <c r="I25" s="16"/>
      <c r="J25" s="16"/>
      <c r="K25" s="16"/>
      <c r="L25" s="16"/>
      <c r="M25" s="75"/>
      <c r="N25" s="75"/>
      <c r="O25" s="75"/>
      <c r="P25" s="75"/>
      <c r="Q25" s="76"/>
    </row>
    <row r="26" spans="1:20" x14ac:dyDescent="0.25">
      <c r="H26" s="17"/>
      <c r="I26" s="17"/>
      <c r="J26" s="17"/>
      <c r="K26" s="17"/>
      <c r="L26" s="17"/>
    </row>
    <row r="27" spans="1:20" x14ac:dyDescent="0.25">
      <c r="H27" s="17"/>
      <c r="I27" s="17"/>
      <c r="J27" s="17"/>
      <c r="K27" s="17"/>
      <c r="L27" s="17"/>
    </row>
    <row r="28" spans="1:20" x14ac:dyDescent="0.25">
      <c r="H28" s="17"/>
      <c r="I28" s="17"/>
      <c r="J28" s="17"/>
      <c r="K28" s="17"/>
      <c r="L28" s="17"/>
    </row>
    <row r="29" spans="1:20" x14ac:dyDescent="0.25">
      <c r="H29" s="17"/>
      <c r="I29" s="17"/>
      <c r="J29" s="17"/>
      <c r="K29" s="17"/>
      <c r="L29" s="17"/>
    </row>
    <row r="30" spans="1:20" x14ac:dyDescent="0.25">
      <c r="H30" s="17"/>
      <c r="I30" s="17"/>
      <c r="J30" s="17"/>
      <c r="K30" s="17"/>
      <c r="L30" s="17"/>
    </row>
    <row r="31" spans="1:20" x14ac:dyDescent="0.25">
      <c r="H31" s="17"/>
      <c r="I31" s="17"/>
      <c r="J31" s="17"/>
      <c r="K31" s="17"/>
      <c r="L31" s="17"/>
    </row>
    <row r="32" spans="1:20" x14ac:dyDescent="0.25">
      <c r="H32" s="17"/>
      <c r="I32" s="17"/>
      <c r="J32" s="17"/>
      <c r="K32" s="17"/>
      <c r="L32" s="17"/>
    </row>
    <row r="33" spans="8:12" x14ac:dyDescent="0.25">
      <c r="H33" s="17"/>
      <c r="I33" s="17"/>
      <c r="J33" s="17"/>
      <c r="K33" s="17"/>
      <c r="L33" s="17"/>
    </row>
  </sheetData>
  <mergeCells count="8">
    <mergeCell ref="M25:Q25"/>
    <mergeCell ref="A16:B16"/>
    <mergeCell ref="C19:E19"/>
    <mergeCell ref="C18:E18"/>
    <mergeCell ref="I1:J1"/>
    <mergeCell ref="H7:M7"/>
    <mergeCell ref="H13:M13"/>
    <mergeCell ref="H19:M19"/>
  </mergeCells>
  <dataValidations count="1">
    <dataValidation type="list" allowBlank="1" showInputMessage="1" showErrorMessage="1" sqref="M1" xr:uid="{00000000-0002-0000-0200-000000000000}">
      <formula1>Select_Title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3"/>
  <sheetViews>
    <sheetView zoomScale="85" zoomScaleNormal="85" workbookViewId="0">
      <selection activeCell="D2" sqref="D2"/>
    </sheetView>
  </sheetViews>
  <sheetFormatPr defaultRowHeight="15" x14ac:dyDescent="0.25"/>
  <cols>
    <col min="1" max="1" width="3.85546875" style="10" customWidth="1"/>
    <col min="2" max="2" width="5" bestFit="1" customWidth="1"/>
    <col min="8" max="13" width="7.7109375" bestFit="1" customWidth="1"/>
    <col min="15" max="18" width="7" bestFit="1" customWidth="1"/>
  </cols>
  <sheetData>
    <row r="1" spans="1:25" ht="30.75" thickBot="1" x14ac:dyDescent="0.3">
      <c r="A1" s="67" t="s">
        <v>36</v>
      </c>
      <c r="B1" s="43" t="s">
        <v>18</v>
      </c>
      <c r="C1" s="43" t="s">
        <v>10</v>
      </c>
      <c r="D1" s="43" t="s">
        <v>31</v>
      </c>
      <c r="E1" s="43" t="s">
        <v>17</v>
      </c>
      <c r="F1" s="43" t="s">
        <v>34</v>
      </c>
      <c r="G1" s="43" t="s">
        <v>11</v>
      </c>
      <c r="H1" s="41"/>
      <c r="I1" s="82" t="s">
        <v>8</v>
      </c>
      <c r="J1" s="82"/>
      <c r="K1" s="43"/>
      <c r="L1" s="44" t="s">
        <v>35</v>
      </c>
      <c r="M1" s="43" t="s">
        <v>0</v>
      </c>
    </row>
    <row r="2" spans="1:25" ht="21" customHeight="1" thickBot="1" x14ac:dyDescent="0.3">
      <c r="A2" s="10">
        <v>1</v>
      </c>
      <c r="B2">
        <v>44</v>
      </c>
      <c r="C2">
        <f>IF(D2=0,1000,D2)</f>
        <v>2186</v>
      </c>
      <c r="D2">
        <f>LOOKUP(B2,Data!$A$2:$A$174,Data!$E$2:$E$174)</f>
        <v>2186</v>
      </c>
      <c r="E2" t="str">
        <f>LOOKUP(B2,Data!$A$2:$A$174,Data!$C$2:$C$174)</f>
        <v>FRA</v>
      </c>
      <c r="F2" t="str">
        <f>LOOKUP(B2,Data!$A$2:$A$174,Data!$D$2:$D$174)</f>
        <v>WFM</v>
      </c>
      <c r="G2">
        <v>1</v>
      </c>
      <c r="H2" s="42"/>
      <c r="I2" s="1" t="s">
        <v>0</v>
      </c>
      <c r="J2" s="1">
        <v>2200</v>
      </c>
      <c r="N2" s="23" t="s">
        <v>30</v>
      </c>
      <c r="O2" s="24">
        <f>MIN(C2:C14)</f>
        <v>1953</v>
      </c>
      <c r="P2" s="16"/>
      <c r="Q2" s="16"/>
      <c r="R2" s="16"/>
      <c r="S2" s="60">
        <v>2238</v>
      </c>
      <c r="Y2">
        <f>IF(C2=" ",0,1)</f>
        <v>1</v>
      </c>
    </row>
    <row r="3" spans="1:25" ht="21.75" thickBot="1" x14ac:dyDescent="0.3">
      <c r="A3" s="10">
        <v>2</v>
      </c>
      <c r="B3">
        <v>3</v>
      </c>
      <c r="C3">
        <f t="shared" ref="C3:C14" si="0">IF(D3=0,1000,D3)</f>
        <v>2614</v>
      </c>
      <c r="D3">
        <f>LOOKUP(B3,Data!$A$2:$A$174,Data!$E$2:$E$174)</f>
        <v>2614</v>
      </c>
      <c r="E3" t="str">
        <f>LOOKUP(B3,Data!$A$2:$A$174,Data!$C$2:$C$174)</f>
        <v>POL</v>
      </c>
      <c r="F3" t="str">
        <f>LOOKUP(B3,Data!$A$2:$A$174,Data!$D$2:$D$174)</f>
        <v>GM</v>
      </c>
      <c r="G3">
        <v>1</v>
      </c>
      <c r="I3" s="1" t="s">
        <v>1</v>
      </c>
      <c r="J3" s="1">
        <v>2050</v>
      </c>
      <c r="N3" s="25" t="s">
        <v>33</v>
      </c>
      <c r="O3" s="26">
        <f>IF(M1="GM",J2,IF(M1="IM",J3,IF(M1="WGM",J4,J5)))</f>
        <v>2200</v>
      </c>
      <c r="P3" s="17"/>
      <c r="Q3" s="17"/>
      <c r="R3" s="17"/>
      <c r="S3" s="60">
        <v>2462</v>
      </c>
      <c r="Y3">
        <f t="shared" ref="Y3:Y14" si="1">IF(C3=" ",0,1)</f>
        <v>1</v>
      </c>
    </row>
    <row r="4" spans="1:25" ht="15.75" thickBot="1" x14ac:dyDescent="0.3">
      <c r="A4" s="10">
        <v>3</v>
      </c>
      <c r="B4">
        <v>9</v>
      </c>
      <c r="C4">
        <f t="shared" si="0"/>
        <v>2552</v>
      </c>
      <c r="D4">
        <f>LOOKUP(B4,Data!$A$2:$A$174,Data!$E$2:$E$174)</f>
        <v>2552</v>
      </c>
      <c r="E4" t="str">
        <f>LOOKUP(B4,Data!$A$2:$A$174,Data!$C$2:$C$174)</f>
        <v>ENG</v>
      </c>
      <c r="F4" t="str">
        <f>LOOKUP(B4,Data!$A$2:$A$174,Data!$D$2:$D$174)</f>
        <v>GM</v>
      </c>
      <c r="G4">
        <v>0.5</v>
      </c>
      <c r="I4" s="1" t="s">
        <v>2</v>
      </c>
      <c r="J4" s="1">
        <v>2000</v>
      </c>
      <c r="N4" s="17"/>
      <c r="O4" s="17"/>
      <c r="P4" s="17"/>
      <c r="Q4" s="17"/>
      <c r="R4" s="17"/>
      <c r="S4" s="60">
        <v>2552</v>
      </c>
      <c r="Y4">
        <f t="shared" si="1"/>
        <v>1</v>
      </c>
    </row>
    <row r="5" spans="1:25" ht="15.75" thickBot="1" x14ac:dyDescent="0.3">
      <c r="A5" s="10">
        <v>4</v>
      </c>
      <c r="B5">
        <v>5</v>
      </c>
      <c r="C5">
        <f t="shared" si="0"/>
        <v>2586</v>
      </c>
      <c r="D5">
        <f>LOOKUP(B5,Data!$A$2:$A$174,Data!$E$2:$E$174)</f>
        <v>2586</v>
      </c>
      <c r="E5" t="str">
        <f>LOOKUP(B5,Data!$A$2:$A$174,Data!$C$2:$C$174)</f>
        <v>SUI</v>
      </c>
      <c r="F5" t="str">
        <f>LOOKUP(B5,Data!$A$2:$A$174,Data!$D$2:$D$174)</f>
        <v>GM</v>
      </c>
      <c r="G5">
        <v>0.5</v>
      </c>
      <c r="I5" s="1" t="s">
        <v>3</v>
      </c>
      <c r="J5" s="1">
        <v>1850</v>
      </c>
      <c r="N5" s="17"/>
      <c r="O5" s="17"/>
      <c r="P5" s="17"/>
      <c r="Q5" s="17"/>
      <c r="R5" s="17"/>
      <c r="S5" s="60">
        <v>1800</v>
      </c>
      <c r="Y5">
        <f t="shared" si="1"/>
        <v>1</v>
      </c>
    </row>
    <row r="6" spans="1:25" ht="15.75" thickBot="1" x14ac:dyDescent="0.3">
      <c r="A6" s="10">
        <v>5</v>
      </c>
      <c r="B6">
        <v>82</v>
      </c>
      <c r="C6">
        <f t="shared" si="0"/>
        <v>1953</v>
      </c>
      <c r="D6">
        <f>LOOKUP(B6,Data!$A$2:$A$174,Data!$E$2:$E$174)</f>
        <v>1953</v>
      </c>
      <c r="E6" t="str">
        <f>LOOKUP(B6,Data!$A$2:$A$174,Data!$C$2:$C$174)</f>
        <v>ENG</v>
      </c>
      <c r="F6">
        <f>LOOKUP(B6,Data!$A$2:$A$174,Data!$D$2:$D$174)</f>
        <v>0</v>
      </c>
      <c r="G6">
        <v>1</v>
      </c>
      <c r="N6" s="17"/>
      <c r="O6" s="17"/>
      <c r="P6" s="17"/>
      <c r="Q6" s="17"/>
      <c r="R6" s="17"/>
      <c r="S6" s="60">
        <v>2502</v>
      </c>
      <c r="Y6">
        <f t="shared" si="1"/>
        <v>1</v>
      </c>
    </row>
    <row r="7" spans="1:25" ht="15.75" thickBot="1" x14ac:dyDescent="0.3">
      <c r="A7" s="10">
        <v>6</v>
      </c>
      <c r="B7">
        <v>7</v>
      </c>
      <c r="C7">
        <f t="shared" si="0"/>
        <v>2576</v>
      </c>
      <c r="D7">
        <f>LOOKUP(B7,Data!$A$2:$A$174,Data!$E$2:$E$174)</f>
        <v>2576</v>
      </c>
      <c r="E7" t="str">
        <f>LOOKUP(B7,Data!$A$2:$A$174,Data!$C$2:$C$174)</f>
        <v>FRA</v>
      </c>
      <c r="F7" t="str">
        <f>LOOKUP(B7,Data!$A$2:$A$174,Data!$D$2:$D$174)</f>
        <v>GM</v>
      </c>
      <c r="G7">
        <v>0.5</v>
      </c>
      <c r="H7" s="83" t="s">
        <v>13</v>
      </c>
      <c r="I7" s="84"/>
      <c r="J7" s="84"/>
      <c r="K7" s="84"/>
      <c r="L7" s="84"/>
      <c r="M7" s="84"/>
      <c r="N7" s="27"/>
      <c r="O7" s="27"/>
      <c r="P7" s="28"/>
      <c r="Q7" s="17"/>
      <c r="R7" s="17"/>
      <c r="S7" s="60">
        <v>2314</v>
      </c>
      <c r="Y7">
        <f t="shared" si="1"/>
        <v>1</v>
      </c>
    </row>
    <row r="8" spans="1:25" ht="15.75" thickBot="1" x14ac:dyDescent="0.3">
      <c r="A8" s="10">
        <v>7</v>
      </c>
      <c r="B8">
        <v>2</v>
      </c>
      <c r="C8">
        <f t="shared" si="0"/>
        <v>2659</v>
      </c>
      <c r="D8">
        <f>LOOKUP(B8,Data!$A$2:$A$174,Data!$E$2:$E$174)</f>
        <v>2659</v>
      </c>
      <c r="E8" t="str">
        <f>LOOKUP(B8,Data!$A$2:$A$174,Data!$C$2:$C$174)</f>
        <v>FRA</v>
      </c>
      <c r="F8" t="str">
        <f>LOOKUP(B8,Data!$A$2:$A$174,Data!$D$2:$D$174)</f>
        <v>GM</v>
      </c>
      <c r="G8">
        <v>0</v>
      </c>
      <c r="H8" s="29" t="s">
        <v>4</v>
      </c>
      <c r="I8" s="34" t="s">
        <v>5</v>
      </c>
      <c r="J8" s="30" t="s">
        <v>6</v>
      </c>
      <c r="K8" s="34" t="s">
        <v>7</v>
      </c>
      <c r="L8" s="30" t="s">
        <v>9</v>
      </c>
      <c r="M8" s="35">
        <v>4.5</v>
      </c>
      <c r="N8" s="31">
        <v>4</v>
      </c>
      <c r="O8" s="32">
        <v>3.5</v>
      </c>
      <c r="P8" s="33"/>
      <c r="Q8" s="17"/>
      <c r="R8" s="17"/>
      <c r="S8" s="60">
        <v>2448</v>
      </c>
      <c r="Y8">
        <f t="shared" si="1"/>
        <v>1</v>
      </c>
    </row>
    <row r="9" spans="1:25" ht="15.75" thickBot="1" x14ac:dyDescent="0.3">
      <c r="A9" s="10">
        <v>8</v>
      </c>
      <c r="B9">
        <v>30</v>
      </c>
      <c r="C9">
        <f t="shared" si="0"/>
        <v>2302</v>
      </c>
      <c r="D9">
        <f>LOOKUP(B9,Data!$A$2:$A$174,Data!$E$2:$E$174)</f>
        <v>2302</v>
      </c>
      <c r="E9" t="str">
        <f>LOOKUP(B9,Data!$A$2:$A$174,Data!$C$2:$C$174)</f>
        <v>CZE</v>
      </c>
      <c r="F9" t="str">
        <f>LOOKUP(B9,Data!$A$2:$A$174,Data!$D$2:$D$174)</f>
        <v>WIM</v>
      </c>
      <c r="G9" t="s">
        <v>15</v>
      </c>
      <c r="H9" s="4">
        <f>9*2379.5-$C$16</f>
        <v>1740.5</v>
      </c>
      <c r="I9" s="21">
        <f>9*2433.5-$C$16</f>
        <v>2226.5</v>
      </c>
      <c r="J9" s="5">
        <f>9*2474.5-$C$16</f>
        <v>2595.5</v>
      </c>
      <c r="K9" s="69">
        <f>9*2519.5-$C$16</f>
        <v>3000.5</v>
      </c>
      <c r="L9" s="5">
        <f>9*2556.5-$C$16</f>
        <v>3333.5</v>
      </c>
      <c r="M9" s="21">
        <f>9*2599.5-$C$16</f>
        <v>3720.5</v>
      </c>
      <c r="N9" s="5">
        <f>9*2642.5-$C$16</f>
        <v>4107.5</v>
      </c>
      <c r="O9" s="21">
        <f>9*2679.5-$C$16</f>
        <v>4440.5</v>
      </c>
      <c r="P9" s="2" t="s">
        <v>0</v>
      </c>
      <c r="Q9" s="17"/>
      <c r="R9" s="17"/>
      <c r="S9" s="60">
        <v>2597</v>
      </c>
      <c r="Y9">
        <f t="shared" si="1"/>
        <v>1</v>
      </c>
    </row>
    <row r="10" spans="1:25" ht="15.75" thickBot="1" x14ac:dyDescent="0.3">
      <c r="A10" s="10">
        <v>9</v>
      </c>
      <c r="B10">
        <v>1000</v>
      </c>
      <c r="C10" t="str">
        <f t="shared" si="0"/>
        <v xml:space="preserve"> </v>
      </c>
      <c r="D10" t="str">
        <f>LOOKUP(B10,Data!$A$2:$A$174,Data!$E$2:$E$174)</f>
        <v xml:space="preserve"> </v>
      </c>
      <c r="E10" t="str">
        <f>LOOKUP(B10,Data!$A$2:$A$174,Data!$C$2:$C$174)</f>
        <v xml:space="preserve"> </v>
      </c>
      <c r="F10" t="str">
        <f>LOOKUP(B10,Data!$A$2:$A$174,Data!$D$2:$D$174)</f>
        <v xml:space="preserve"> </v>
      </c>
      <c r="G10" t="s">
        <v>15</v>
      </c>
      <c r="H10" s="4">
        <f>9*2229.5-$C$16</f>
        <v>390.5</v>
      </c>
      <c r="I10" s="21">
        <f>9*2283.5-$C$16</f>
        <v>876.5</v>
      </c>
      <c r="J10" s="5">
        <f>9*2324.5-$C$16</f>
        <v>1245.5</v>
      </c>
      <c r="K10" s="21">
        <f>9*2369.5-$C$16</f>
        <v>1650.5</v>
      </c>
      <c r="L10" s="5">
        <f>9*2406.5-$C$16</f>
        <v>1983.5</v>
      </c>
      <c r="M10" s="21">
        <f>9*2449.5-$C$16</f>
        <v>2370.5</v>
      </c>
      <c r="N10" s="5">
        <f>9*2492.5-$C$16</f>
        <v>2757.5</v>
      </c>
      <c r="O10" s="21">
        <f>9*2529.5-$C$16</f>
        <v>3090.5</v>
      </c>
      <c r="P10" s="2" t="s">
        <v>1</v>
      </c>
      <c r="Q10" s="17"/>
      <c r="R10" s="17"/>
      <c r="S10" s="60">
        <v>2492</v>
      </c>
      <c r="Y10">
        <f t="shared" si="1"/>
        <v>0</v>
      </c>
    </row>
    <row r="11" spans="1:25" x14ac:dyDescent="0.25">
      <c r="A11" s="10">
        <v>10</v>
      </c>
      <c r="B11">
        <v>1000</v>
      </c>
      <c r="C11" t="str">
        <f t="shared" si="0"/>
        <v xml:space="preserve"> </v>
      </c>
      <c r="D11" t="str">
        <f>LOOKUP(B11,Data!$A$2:$A$174,Data!$E$2:$E$174)</f>
        <v xml:space="preserve"> </v>
      </c>
      <c r="E11" t="str">
        <f>LOOKUP(B11,Data!$A$2:$A$174,Data!$C$2:$C$174)</f>
        <v xml:space="preserve"> </v>
      </c>
      <c r="F11" t="str">
        <f>LOOKUP(B11,Data!$A$2:$A$174,Data!$D$2:$D$174)</f>
        <v xml:space="preserve"> </v>
      </c>
      <c r="G11" t="s">
        <v>64</v>
      </c>
      <c r="H11" s="4">
        <f>9*2169.5-$C$16</f>
        <v>-149.5</v>
      </c>
      <c r="I11" s="21">
        <f>9*2233.5-$C$16</f>
        <v>426.5</v>
      </c>
      <c r="J11" s="5">
        <f>9*2274.5-$C$16</f>
        <v>795.5</v>
      </c>
      <c r="K11" s="21">
        <f>9*2319.5-$C$16</f>
        <v>1200.5</v>
      </c>
      <c r="L11" s="5">
        <f>9*2356.5-$C$16</f>
        <v>1533.5</v>
      </c>
      <c r="M11" s="21">
        <f>9*2399.5-$C$16</f>
        <v>1920.5</v>
      </c>
      <c r="N11" s="5">
        <f>9*2442.5-$C$16</f>
        <v>2307.5</v>
      </c>
      <c r="O11" s="21">
        <f>9*2479.5-$C$16</f>
        <v>2640.5</v>
      </c>
      <c r="P11" s="2" t="s">
        <v>2</v>
      </c>
      <c r="S11">
        <f>AVERAGE(S2:S10)</f>
        <v>2378.3333333333335</v>
      </c>
      <c r="Y11">
        <f t="shared" si="1"/>
        <v>0</v>
      </c>
    </row>
    <row r="12" spans="1:25" ht="15.75" thickBot="1" x14ac:dyDescent="0.3">
      <c r="A12" s="10">
        <v>11</v>
      </c>
      <c r="B12">
        <v>1000</v>
      </c>
      <c r="C12" t="str">
        <f t="shared" si="0"/>
        <v xml:space="preserve"> </v>
      </c>
      <c r="D12" t="str">
        <f>LOOKUP(B12,Data!$A$2:$A$174,Data!$E$2:$E$174)</f>
        <v xml:space="preserve"> </v>
      </c>
      <c r="E12" t="str">
        <f>LOOKUP(B12,Data!$A$2:$A$174,Data!$C$2:$C$174)</f>
        <v xml:space="preserve"> </v>
      </c>
      <c r="F12" t="str">
        <f>LOOKUP(B12,Data!$A$2:$A$174,Data!$D$2:$D$174)</f>
        <v xml:space="preserve"> </v>
      </c>
      <c r="H12" s="6">
        <f>9*2029.5-$C$16</f>
        <v>-1409.5</v>
      </c>
      <c r="I12" s="22">
        <f>9*2083.5-$C$16</f>
        <v>-923.5</v>
      </c>
      <c r="J12" s="7">
        <f>9*2124.5-$C$16</f>
        <v>-554.5</v>
      </c>
      <c r="K12" s="21">
        <f>9*2169.5-$C$16</f>
        <v>-149.5</v>
      </c>
      <c r="L12" s="7">
        <f>9*2206.5-$C$16</f>
        <v>183.5</v>
      </c>
      <c r="M12" s="22">
        <f>9*2249.5-$C$16</f>
        <v>570.5</v>
      </c>
      <c r="N12" s="7">
        <f>9*2292.5-$C$16</f>
        <v>957.5</v>
      </c>
      <c r="O12" s="22">
        <f>9*2329.5-$C$16</f>
        <v>1290.5</v>
      </c>
      <c r="P12" s="3" t="s">
        <v>3</v>
      </c>
      <c r="Y12">
        <f t="shared" si="1"/>
        <v>0</v>
      </c>
    </row>
    <row r="13" spans="1:25" ht="15.75" thickBot="1" x14ac:dyDescent="0.3">
      <c r="A13" s="10">
        <v>12</v>
      </c>
      <c r="B13">
        <v>1000</v>
      </c>
      <c r="C13" t="str">
        <f t="shared" si="0"/>
        <v xml:space="preserve"> </v>
      </c>
      <c r="D13" t="str">
        <f>LOOKUP(B13,Data!$A$2:$A$174,Data!$E$2:$E$174)</f>
        <v xml:space="preserve"> </v>
      </c>
      <c r="E13" t="str">
        <f>LOOKUP(B13,Data!$A$2:$A$174,Data!$C$2:$C$174)</f>
        <v xml:space="preserve"> </v>
      </c>
      <c r="F13" t="str">
        <f>LOOKUP(B13,Data!$A$2:$A$174,Data!$D$2:$D$174)</f>
        <v xml:space="preserve"> </v>
      </c>
      <c r="H13" s="85" t="s">
        <v>14</v>
      </c>
      <c r="I13" s="80"/>
      <c r="J13" s="80"/>
      <c r="K13" s="80"/>
      <c r="L13" s="80"/>
      <c r="M13" s="80"/>
      <c r="N13" s="8"/>
      <c r="O13" s="8"/>
      <c r="P13" s="8"/>
      <c r="Q13" s="8"/>
      <c r="R13" s="9"/>
      <c r="Y13">
        <f t="shared" si="1"/>
        <v>0</v>
      </c>
    </row>
    <row r="14" spans="1:25" x14ac:dyDescent="0.25">
      <c r="A14" s="10">
        <v>13</v>
      </c>
      <c r="B14">
        <v>1000</v>
      </c>
      <c r="C14" t="str">
        <f t="shared" si="0"/>
        <v xml:space="preserve"> </v>
      </c>
      <c r="D14" t="str">
        <f>LOOKUP(B14,Data!$A$2:$A$174,Data!$E$2:$E$174)</f>
        <v xml:space="preserve"> </v>
      </c>
      <c r="E14" t="str">
        <f>LOOKUP(B14,Data!$A$2:$A$174,Data!$C$2:$C$174)</f>
        <v xml:space="preserve"> </v>
      </c>
      <c r="F14" t="str">
        <f>LOOKUP(B14,Data!$A$2:$A$174,Data!$D$2:$D$174)</f>
        <v xml:space="preserve"> </v>
      </c>
      <c r="H14" s="29">
        <v>8</v>
      </c>
      <c r="I14" s="34">
        <v>7.5</v>
      </c>
      <c r="J14" s="30">
        <v>7</v>
      </c>
      <c r="K14" s="34">
        <v>6.5</v>
      </c>
      <c r="L14" s="30">
        <v>6</v>
      </c>
      <c r="M14" s="34">
        <v>5.5</v>
      </c>
      <c r="N14" s="30">
        <v>5</v>
      </c>
      <c r="O14" s="34">
        <v>4.5</v>
      </c>
      <c r="P14" s="30">
        <v>4</v>
      </c>
      <c r="Q14" s="34">
        <v>3.5</v>
      </c>
      <c r="R14" s="40"/>
      <c r="Y14">
        <f t="shared" si="1"/>
        <v>0</v>
      </c>
    </row>
    <row r="15" spans="1:25" ht="15.75" thickBot="1" x14ac:dyDescent="0.3">
      <c r="A15" s="10" t="s">
        <v>19</v>
      </c>
      <c r="C15">
        <f>IF(O2&lt;O3,O3-O2,0)</f>
        <v>247</v>
      </c>
      <c r="H15" s="4">
        <f>10*2379.5-$C$16</f>
        <v>4120</v>
      </c>
      <c r="I15" s="13">
        <f>10*2406.5-$C$16</f>
        <v>4390</v>
      </c>
      <c r="J15" s="4">
        <f>10*2450.5-$C$16</f>
        <v>4830</v>
      </c>
      <c r="K15" s="13">
        <f>10*2489.5-$C$16</f>
        <v>5220</v>
      </c>
      <c r="L15" s="4">
        <f>10*2527.5-$C$16</f>
        <v>5600</v>
      </c>
      <c r="M15" s="13">
        <f>10*2563.5-$C$16</f>
        <v>5960</v>
      </c>
      <c r="N15" s="4">
        <f>10*2599.5-$C$16</f>
        <v>6320</v>
      </c>
      <c r="O15" s="13">
        <f>10*2635.5-$C$16</f>
        <v>6680</v>
      </c>
      <c r="P15" s="4">
        <f>10*2671.5-$C$16</f>
        <v>7040</v>
      </c>
      <c r="Q15" s="18">
        <f>10*2709.5-$C$16</f>
        <v>7420</v>
      </c>
      <c r="R15" s="2" t="s">
        <v>0</v>
      </c>
      <c r="Y15">
        <f>SUM(Y2:Y14)</f>
        <v>8</v>
      </c>
    </row>
    <row r="16" spans="1:25" ht="21.75" thickBot="1" x14ac:dyDescent="0.4">
      <c r="A16" s="77" t="s">
        <v>38</v>
      </c>
      <c r="B16" s="77"/>
      <c r="C16">
        <f>SUM(C2:C15)</f>
        <v>19675</v>
      </c>
      <c r="F16" s="50" t="s">
        <v>37</v>
      </c>
      <c r="G16" s="49">
        <f>SUM(G2:G14)</f>
        <v>4.5</v>
      </c>
      <c r="H16" s="4">
        <f>10*2229.5-$C$16</f>
        <v>2620</v>
      </c>
      <c r="I16" s="13">
        <f>10*2256.5-$C$16</f>
        <v>2890</v>
      </c>
      <c r="J16" s="4">
        <f>10*2300.5-$C$16</f>
        <v>3330</v>
      </c>
      <c r="K16" s="13">
        <f>10*2339.5-$C$16</f>
        <v>3720</v>
      </c>
      <c r="L16" s="4">
        <f>10*2377.5-$C$16</f>
        <v>4100</v>
      </c>
      <c r="M16" s="13">
        <f>10*2413.5-$C$16</f>
        <v>4460</v>
      </c>
      <c r="N16" s="4">
        <f>10*2449.5-$C$16</f>
        <v>4820</v>
      </c>
      <c r="O16" s="13">
        <f>10*2489.5-$C$16</f>
        <v>5220</v>
      </c>
      <c r="P16" s="4">
        <f>10*2521.5-$C$16</f>
        <v>5540</v>
      </c>
      <c r="Q16" s="13">
        <f>10*2559.5-$C$16</f>
        <v>5920</v>
      </c>
      <c r="R16" s="2" t="s">
        <v>1</v>
      </c>
    </row>
    <row r="17" spans="1:20" ht="15.75" thickBot="1" x14ac:dyDescent="0.3">
      <c r="A17" s="66" t="s">
        <v>32</v>
      </c>
      <c r="C17">
        <f>C16/Y15</f>
        <v>2459.375</v>
      </c>
      <c r="H17" s="4">
        <f>10*2179.5-$C$16</f>
        <v>2120</v>
      </c>
      <c r="I17" s="13">
        <f>10*2206.5-$C$16</f>
        <v>2390</v>
      </c>
      <c r="J17" s="4">
        <f>10*2250.5-$C$16</f>
        <v>2830</v>
      </c>
      <c r="K17" s="13">
        <f>10*2289.5-$C$16</f>
        <v>3220</v>
      </c>
      <c r="L17" s="4">
        <f>10*2327.5-$C$16</f>
        <v>3600</v>
      </c>
      <c r="M17" s="13">
        <f>10*2363.5-$C$16</f>
        <v>3960</v>
      </c>
      <c r="N17" s="4">
        <f>10*2399.5-$C$16</f>
        <v>4320</v>
      </c>
      <c r="O17" s="13">
        <f>10*2435.5-$C$16</f>
        <v>4680</v>
      </c>
      <c r="P17" s="4">
        <f>10*2471.5-$C$16</f>
        <v>5040</v>
      </c>
      <c r="Q17" s="13">
        <f>10*2509.5-$C$16</f>
        <v>5420</v>
      </c>
      <c r="R17" s="2" t="s">
        <v>2</v>
      </c>
    </row>
    <row r="18" spans="1:20" ht="15.75" thickBot="1" x14ac:dyDescent="0.3">
      <c r="A18" s="68"/>
      <c r="B18" s="57"/>
      <c r="C18" s="80" t="s">
        <v>63</v>
      </c>
      <c r="D18" s="80"/>
      <c r="E18" s="81"/>
      <c r="H18" s="6">
        <f>10*2029.5-$C$16</f>
        <v>620</v>
      </c>
      <c r="I18" s="14">
        <f>10*2056.5-$C$16</f>
        <v>890</v>
      </c>
      <c r="J18" s="6">
        <f>10*2100.5-$C$16</f>
        <v>1330</v>
      </c>
      <c r="K18" s="14">
        <f>10*2139.5-$C$16</f>
        <v>1720</v>
      </c>
      <c r="L18" s="6">
        <f>10*2177.5-$C$16</f>
        <v>2100</v>
      </c>
      <c r="M18" s="14">
        <f>10*2213.5-$C$16</f>
        <v>2460</v>
      </c>
      <c r="N18" s="6">
        <f>10*2249.5-$C$16</f>
        <v>2820</v>
      </c>
      <c r="O18" s="14">
        <f>10*2285.5-$C$16</f>
        <v>3180</v>
      </c>
      <c r="P18" s="6">
        <f>10*2321.5-$C$16</f>
        <v>3540</v>
      </c>
      <c r="Q18" s="14">
        <f>10*2359.5-$C$16</f>
        <v>3920</v>
      </c>
      <c r="R18" s="3" t="s">
        <v>3</v>
      </c>
    </row>
    <row r="19" spans="1:20" ht="19.5" thickBot="1" x14ac:dyDescent="0.35">
      <c r="A19" s="58" t="s">
        <v>62</v>
      </c>
      <c r="B19" s="59">
        <v>16</v>
      </c>
      <c r="C19" s="78" t="str">
        <f>LOOKUP($B19,Data!$A$2:$A$174,Data!$B$2:$B$174)</f>
        <v>Player 16</v>
      </c>
      <c r="D19" s="78"/>
      <c r="E19" s="79"/>
      <c r="H19" s="85" t="s">
        <v>16</v>
      </c>
      <c r="I19" s="80"/>
      <c r="J19" s="80"/>
      <c r="K19" s="80"/>
      <c r="L19" s="80"/>
      <c r="M19" s="80"/>
      <c r="N19" s="36"/>
      <c r="O19" s="36"/>
      <c r="P19" s="36"/>
      <c r="Q19" s="36"/>
      <c r="R19" s="36"/>
      <c r="S19" s="37"/>
      <c r="T19" s="10"/>
    </row>
    <row r="20" spans="1:20" x14ac:dyDescent="0.25">
      <c r="H20" s="29">
        <v>9</v>
      </c>
      <c r="I20" s="39">
        <v>8.5</v>
      </c>
      <c r="J20" s="47">
        <v>8</v>
      </c>
      <c r="K20" s="39">
        <v>7.5</v>
      </c>
      <c r="L20" s="46">
        <v>7</v>
      </c>
      <c r="M20" s="39">
        <v>6.5</v>
      </c>
      <c r="N20" s="46">
        <v>6</v>
      </c>
      <c r="O20" s="39">
        <v>5.5</v>
      </c>
      <c r="P20" s="46">
        <v>5</v>
      </c>
      <c r="Q20" s="39">
        <v>4.5</v>
      </c>
      <c r="R20" s="46">
        <v>4</v>
      </c>
      <c r="S20" s="9"/>
    </row>
    <row r="21" spans="1:20" x14ac:dyDescent="0.25">
      <c r="H21" s="4">
        <f>11*2379.5-$C$16</f>
        <v>6499.5</v>
      </c>
      <c r="I21" s="13">
        <f>11*2388.5-$C$16</f>
        <v>6598.5</v>
      </c>
      <c r="J21" s="4">
        <f>11*2424.5-$C$16</f>
        <v>6994.5</v>
      </c>
      <c r="K21" s="13">
        <f>11*2466.5-$C$16</f>
        <v>7456.5</v>
      </c>
      <c r="L21" s="4">
        <f>11*2497.5-$C$16</f>
        <v>7797.5</v>
      </c>
      <c r="M21" s="13">
        <f>11*2534.5-$C$16</f>
        <v>8204.5</v>
      </c>
      <c r="N21" s="4">
        <f>11*2563.5-$C$16</f>
        <v>8523.5</v>
      </c>
      <c r="O21" s="13">
        <f>11*2599.5-$C$16</f>
        <v>8919.5</v>
      </c>
      <c r="P21" s="4">
        <f>11*2635.5-$C$16</f>
        <v>9315.5</v>
      </c>
      <c r="Q21" s="13">
        <f>11*2664.5-$C$16</f>
        <v>9634.5</v>
      </c>
      <c r="R21" s="4">
        <f>11*2701.5-$C$16</f>
        <v>10041.5</v>
      </c>
      <c r="S21" s="2" t="s">
        <v>0</v>
      </c>
    </row>
    <row r="22" spans="1:20" x14ac:dyDescent="0.25">
      <c r="H22" s="4">
        <f>11*2229.5-$C$16</f>
        <v>4849.5</v>
      </c>
      <c r="I22" s="13">
        <f>11*2238.5-$C$16</f>
        <v>4948.5</v>
      </c>
      <c r="J22" s="4">
        <f>11*2274.5-$C$16</f>
        <v>5344.5</v>
      </c>
      <c r="K22" s="13">
        <f>11*2316.5-$C$16</f>
        <v>5806.5</v>
      </c>
      <c r="L22" s="4">
        <f>11*2347.5-$C$16</f>
        <v>6147.5</v>
      </c>
      <c r="M22" s="13">
        <f>11*2384.5-$C$16</f>
        <v>6554.5</v>
      </c>
      <c r="N22" s="4">
        <f>11*2413.5-$C$16</f>
        <v>6873.5</v>
      </c>
      <c r="O22" s="13">
        <f>11*2449.5-$C$16</f>
        <v>7269.5</v>
      </c>
      <c r="P22" s="4">
        <f>11*2485.5-$C$16</f>
        <v>7665.5</v>
      </c>
      <c r="Q22" s="13">
        <f>11*2514.5-$C$16</f>
        <v>7984.5</v>
      </c>
      <c r="R22" s="4">
        <f>11*2551.5-$C$16</f>
        <v>8391.5</v>
      </c>
      <c r="S22" s="2" t="s">
        <v>1</v>
      </c>
    </row>
    <row r="23" spans="1:20" x14ac:dyDescent="0.25">
      <c r="H23" s="4">
        <f>11*2179.5-$C$16</f>
        <v>4299.5</v>
      </c>
      <c r="I23" s="13">
        <f>11*2188.5-$C$16</f>
        <v>4398.5</v>
      </c>
      <c r="J23" s="4">
        <f>11*2224.5-$C$16</f>
        <v>4794.5</v>
      </c>
      <c r="K23" s="13">
        <f>11*2266.5-$C$16</f>
        <v>5256.5</v>
      </c>
      <c r="L23" s="4">
        <f>11*2297.5-$C$16</f>
        <v>5597.5</v>
      </c>
      <c r="M23" s="13">
        <f>11*2334.5-$C$16</f>
        <v>6004.5</v>
      </c>
      <c r="N23" s="4">
        <f>11*2363.5-$C$16</f>
        <v>6323.5</v>
      </c>
      <c r="O23" s="13">
        <f>11*2399.5-$C$16</f>
        <v>6719.5</v>
      </c>
      <c r="P23" s="4">
        <f>11*2435.5-$C$16</f>
        <v>7115.5</v>
      </c>
      <c r="Q23" s="13">
        <f>11*2464.5-$C$16</f>
        <v>7434.5</v>
      </c>
      <c r="R23" s="4">
        <f>11*2501.5-$C$16</f>
        <v>7841.5</v>
      </c>
      <c r="S23" s="2" t="s">
        <v>2</v>
      </c>
    </row>
    <row r="24" spans="1:20" ht="15.75" thickBot="1" x14ac:dyDescent="0.3">
      <c r="H24" s="6">
        <f>11*2029.5-$C$16</f>
        <v>2649.5</v>
      </c>
      <c r="I24" s="14">
        <f>11*2038.5-$C$16</f>
        <v>2748.5</v>
      </c>
      <c r="J24" s="6">
        <f>11*2074.5-$C$16</f>
        <v>3144.5</v>
      </c>
      <c r="K24" s="14">
        <f>11*2116.5-$C$16</f>
        <v>3606.5</v>
      </c>
      <c r="L24" s="6">
        <f>11*2147.5-$C$16</f>
        <v>3947.5</v>
      </c>
      <c r="M24" s="14">
        <f>11*2184.5-$C$16</f>
        <v>4354.5</v>
      </c>
      <c r="N24" s="6">
        <f>11*2213.5-$C$16</f>
        <v>4673.5</v>
      </c>
      <c r="O24" s="14">
        <f>11*2249.5-$C$16</f>
        <v>5069.5</v>
      </c>
      <c r="P24" s="6">
        <f>11*2285.5-$C$16</f>
        <v>5465.5</v>
      </c>
      <c r="Q24" s="14">
        <f>11*2314.5-$C$16</f>
        <v>5784.5</v>
      </c>
      <c r="R24" s="6">
        <f>11*2351.5-$C$16</f>
        <v>6191.5</v>
      </c>
      <c r="S24" s="3" t="s">
        <v>3</v>
      </c>
    </row>
    <row r="25" spans="1:20" x14ac:dyDescent="0.25">
      <c r="H25" s="15"/>
      <c r="I25" s="16"/>
      <c r="J25" s="16"/>
      <c r="K25" s="16"/>
      <c r="L25" s="16"/>
      <c r="M25" s="75"/>
      <c r="N25" s="75"/>
      <c r="O25" s="75"/>
      <c r="P25" s="75"/>
      <c r="Q25" s="76"/>
    </row>
    <row r="26" spans="1:20" x14ac:dyDescent="0.25">
      <c r="H26" s="17"/>
      <c r="I26" s="17"/>
      <c r="J26" s="17"/>
      <c r="K26" s="17"/>
      <c r="L26" s="17"/>
    </row>
    <row r="27" spans="1:20" x14ac:dyDescent="0.25">
      <c r="H27" s="17"/>
      <c r="I27" s="17"/>
      <c r="J27" s="17"/>
      <c r="K27" s="17"/>
      <c r="L27" s="17"/>
    </row>
    <row r="28" spans="1:20" x14ac:dyDescent="0.25">
      <c r="H28" s="17"/>
      <c r="I28" s="17"/>
      <c r="J28" s="17"/>
      <c r="K28" s="17"/>
      <c r="L28" s="17"/>
    </row>
    <row r="29" spans="1:20" x14ac:dyDescent="0.25">
      <c r="H29" s="17"/>
      <c r="I29" s="17"/>
      <c r="J29" s="17"/>
      <c r="K29" s="17"/>
      <c r="L29" s="17"/>
    </row>
    <row r="30" spans="1:20" x14ac:dyDescent="0.25">
      <c r="H30" s="17"/>
      <c r="I30" s="17"/>
      <c r="J30" s="17"/>
      <c r="K30" s="17"/>
      <c r="L30" s="17"/>
    </row>
    <row r="31" spans="1:20" x14ac:dyDescent="0.25">
      <c r="H31" s="17"/>
      <c r="I31" s="17"/>
      <c r="J31" s="17"/>
      <c r="K31" s="17"/>
      <c r="L31" s="17"/>
    </row>
    <row r="32" spans="1:20" x14ac:dyDescent="0.25">
      <c r="H32" s="17"/>
      <c r="I32" s="17"/>
      <c r="J32" s="17"/>
      <c r="K32" s="17"/>
      <c r="L32" s="17"/>
    </row>
    <row r="33" spans="8:12" x14ac:dyDescent="0.25">
      <c r="H33" s="17"/>
      <c r="I33" s="17"/>
      <c r="J33" s="17"/>
      <c r="K33" s="17"/>
      <c r="L33" s="17"/>
    </row>
  </sheetData>
  <mergeCells count="8">
    <mergeCell ref="M25:Q25"/>
    <mergeCell ref="I1:J1"/>
    <mergeCell ref="H7:M7"/>
    <mergeCell ref="H13:M13"/>
    <mergeCell ref="A16:B16"/>
    <mergeCell ref="C18:E18"/>
    <mergeCell ref="C19:E19"/>
    <mergeCell ref="H19:M19"/>
  </mergeCells>
  <dataValidations count="1">
    <dataValidation type="list" allowBlank="1" showInputMessage="1" showErrorMessage="1" sqref="M1" xr:uid="{00000000-0002-0000-0300-000000000000}">
      <formula1>Select_Title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3"/>
  <sheetViews>
    <sheetView topLeftCell="B2" zoomScale="80" zoomScaleNormal="80" workbookViewId="0">
      <selection activeCell="D12" sqref="D12:E16"/>
    </sheetView>
  </sheetViews>
  <sheetFormatPr defaultRowHeight="15" x14ac:dyDescent="0.25"/>
  <cols>
    <col min="1" max="1" width="3.85546875" style="10" customWidth="1"/>
    <col min="2" max="2" width="5.5703125" bestFit="1" customWidth="1"/>
    <col min="8" max="13" width="7.7109375" bestFit="1" customWidth="1"/>
    <col min="15" max="18" width="7" bestFit="1" customWidth="1"/>
  </cols>
  <sheetData>
    <row r="1" spans="1:25" ht="30.75" thickBot="1" x14ac:dyDescent="0.3">
      <c r="A1" s="67" t="s">
        <v>36</v>
      </c>
      <c r="B1" s="43" t="s">
        <v>18</v>
      </c>
      <c r="C1" s="43" t="s">
        <v>10</v>
      </c>
      <c r="D1" s="43" t="s">
        <v>31</v>
      </c>
      <c r="E1" s="43" t="s">
        <v>17</v>
      </c>
      <c r="F1" s="43" t="s">
        <v>34</v>
      </c>
      <c r="G1" s="43" t="s">
        <v>11</v>
      </c>
      <c r="H1" s="41"/>
      <c r="I1" s="82" t="s">
        <v>8</v>
      </c>
      <c r="J1" s="82"/>
      <c r="K1" s="43"/>
      <c r="L1" s="44" t="s">
        <v>35</v>
      </c>
      <c r="M1" s="43" t="s">
        <v>65</v>
      </c>
    </row>
    <row r="2" spans="1:25" ht="21" customHeight="1" thickBot="1" x14ac:dyDescent="0.3">
      <c r="A2" s="10">
        <v>1</v>
      </c>
      <c r="B2">
        <v>45</v>
      </c>
      <c r="C2">
        <f>IF(D2=0,1000,D2)</f>
        <v>2186</v>
      </c>
      <c r="D2">
        <f>LOOKUP(B2,Data!$A$2:$A$174,Data!$E$2:$E$174)</f>
        <v>2186</v>
      </c>
      <c r="E2" t="str">
        <f>LOOKUP(B2,Data!$A$2:$A$174,Data!$C$2:$C$174)</f>
        <v>NED</v>
      </c>
      <c r="F2">
        <f>LOOKUP(B2,Data!$A$2:$A$174,Data!$D$2:$D$174)</f>
        <v>0</v>
      </c>
      <c r="G2">
        <v>1</v>
      </c>
      <c r="H2" s="42"/>
      <c r="I2" s="1" t="s">
        <v>0</v>
      </c>
      <c r="J2" s="1">
        <v>2200</v>
      </c>
      <c r="N2" s="23" t="s">
        <v>30</v>
      </c>
      <c r="O2" s="24">
        <f>MIN(C2:C14)</f>
        <v>2095</v>
      </c>
      <c r="P2" s="16"/>
      <c r="Q2" s="16"/>
      <c r="R2" s="16"/>
      <c r="S2" s="60">
        <v>2238</v>
      </c>
      <c r="Y2">
        <f>IF(C2=" ",0,1)</f>
        <v>1</v>
      </c>
    </row>
    <row r="3" spans="1:25" ht="21.75" thickBot="1" x14ac:dyDescent="0.3">
      <c r="A3" s="10">
        <v>2</v>
      </c>
      <c r="B3">
        <v>4</v>
      </c>
      <c r="C3">
        <f t="shared" ref="C3:C14" si="0">IF(D3=0,1000,D3)</f>
        <v>2592</v>
      </c>
      <c r="D3">
        <f>LOOKUP(B3,Data!$A$2:$A$174,Data!$E$2:$E$174)</f>
        <v>2592</v>
      </c>
      <c r="E3" t="str">
        <f>LOOKUP(B3,Data!$A$2:$A$174,Data!$C$2:$C$174)</f>
        <v>BRA</v>
      </c>
      <c r="F3" t="str">
        <f>LOOKUP(B3,Data!$A$2:$A$174,Data!$D$2:$D$174)</f>
        <v>GM</v>
      </c>
      <c r="G3">
        <v>0.5</v>
      </c>
      <c r="I3" s="1" t="s">
        <v>1</v>
      </c>
      <c r="J3" s="1">
        <v>2050</v>
      </c>
      <c r="N3" s="25" t="s">
        <v>33</v>
      </c>
      <c r="O3" s="26">
        <f>IF(M1="GM",J2,IF(M1="IM",J3,IF(M1="WGM",J4,J5)))</f>
        <v>2200</v>
      </c>
      <c r="P3" s="17"/>
      <c r="Q3" s="17"/>
      <c r="R3" s="17"/>
      <c r="S3" s="60">
        <v>2462</v>
      </c>
      <c r="Y3">
        <f t="shared" ref="Y3:Y14" si="1">IF(C3=" ",0,1)</f>
        <v>1</v>
      </c>
    </row>
    <row r="4" spans="1:25" ht="15.75" thickBot="1" x14ac:dyDescent="0.3">
      <c r="A4" s="10">
        <v>3</v>
      </c>
      <c r="B4">
        <v>56</v>
      </c>
      <c r="C4">
        <f t="shared" si="0"/>
        <v>2095</v>
      </c>
      <c r="D4">
        <f>LOOKUP(B4,Data!$A$2:$A$174,Data!$E$2:$E$174)</f>
        <v>2095</v>
      </c>
      <c r="E4" t="str">
        <f>LOOKUP(B4,Data!$A$2:$A$174,Data!$C$2:$C$174)</f>
        <v>ENG</v>
      </c>
      <c r="F4" t="str">
        <f>LOOKUP(B4,Data!$A$2:$A$174,Data!$D$2:$D$174)</f>
        <v>FM</v>
      </c>
      <c r="G4">
        <v>1</v>
      </c>
      <c r="I4" s="1" t="s">
        <v>2</v>
      </c>
      <c r="J4" s="1">
        <v>2000</v>
      </c>
      <c r="N4" s="17"/>
      <c r="O4" s="17"/>
      <c r="P4" s="17"/>
      <c r="Q4" s="17"/>
      <c r="R4" s="17"/>
      <c r="S4" s="60">
        <v>2552</v>
      </c>
      <c r="Y4">
        <f t="shared" si="1"/>
        <v>1</v>
      </c>
    </row>
    <row r="5" spans="1:25" ht="15.75" thickBot="1" x14ac:dyDescent="0.3">
      <c r="A5" s="10">
        <v>4</v>
      </c>
      <c r="B5">
        <v>2</v>
      </c>
      <c r="C5">
        <f t="shared" si="0"/>
        <v>2659</v>
      </c>
      <c r="D5">
        <f>LOOKUP(B5,Data!$A$2:$A$174,Data!$E$2:$E$174)</f>
        <v>2659</v>
      </c>
      <c r="E5" t="str">
        <f>LOOKUP(B5,Data!$A$2:$A$174,Data!$C$2:$C$174)</f>
        <v>FRA</v>
      </c>
      <c r="F5" t="str">
        <f>LOOKUP(B5,Data!$A$2:$A$174,Data!$D$2:$D$174)</f>
        <v>GM</v>
      </c>
      <c r="G5">
        <v>0</v>
      </c>
      <c r="I5" s="1" t="s">
        <v>3</v>
      </c>
      <c r="J5" s="1">
        <v>1850</v>
      </c>
      <c r="N5" s="17"/>
      <c r="O5" s="17"/>
      <c r="P5" s="17"/>
      <c r="Q5" s="17"/>
      <c r="R5" s="17"/>
      <c r="S5" s="60">
        <v>1800</v>
      </c>
      <c r="Y5">
        <f t="shared" si="1"/>
        <v>1</v>
      </c>
    </row>
    <row r="6" spans="1:25" ht="15.75" thickBot="1" x14ac:dyDescent="0.3">
      <c r="A6" s="10">
        <v>5</v>
      </c>
      <c r="B6">
        <v>47</v>
      </c>
      <c r="C6">
        <f t="shared" si="0"/>
        <v>2180</v>
      </c>
      <c r="D6">
        <f>LOOKUP(B6,Data!$A$2:$A$174,Data!$E$2:$E$174)</f>
        <v>2180</v>
      </c>
      <c r="E6" t="str">
        <f>LOOKUP(B6,Data!$A$2:$A$174,Data!$C$2:$C$174)</f>
        <v>ENG</v>
      </c>
      <c r="F6">
        <f>LOOKUP(B6,Data!$A$2:$A$174,Data!$D$2:$D$174)</f>
        <v>0</v>
      </c>
      <c r="G6">
        <v>1</v>
      </c>
      <c r="N6" s="17"/>
      <c r="O6" s="17"/>
      <c r="P6" s="17"/>
      <c r="Q6" s="17"/>
      <c r="R6" s="17"/>
      <c r="S6" s="60">
        <v>2502</v>
      </c>
      <c r="Y6">
        <f t="shared" si="1"/>
        <v>1</v>
      </c>
    </row>
    <row r="7" spans="1:25" ht="15.75" thickBot="1" x14ac:dyDescent="0.3">
      <c r="A7" s="10">
        <v>6</v>
      </c>
      <c r="B7">
        <v>39</v>
      </c>
      <c r="C7">
        <f t="shared" si="0"/>
        <v>2225</v>
      </c>
      <c r="D7">
        <f>LOOKUP(B7,Data!$A$2:$A$174,Data!$E$2:$E$174)</f>
        <v>2225</v>
      </c>
      <c r="E7" t="str">
        <f>LOOKUP(B7,Data!$A$2:$A$174,Data!$C$2:$C$174)</f>
        <v>FRA</v>
      </c>
      <c r="F7">
        <f>LOOKUP(B7,Data!$A$2:$A$174,Data!$D$2:$D$174)</f>
        <v>0</v>
      </c>
      <c r="G7">
        <v>1</v>
      </c>
      <c r="H7" s="83" t="s">
        <v>13</v>
      </c>
      <c r="I7" s="84"/>
      <c r="J7" s="84"/>
      <c r="K7" s="84"/>
      <c r="L7" s="84"/>
      <c r="M7" s="84"/>
      <c r="N7" s="27"/>
      <c r="O7" s="27"/>
      <c r="P7" s="28"/>
      <c r="Q7" s="17"/>
      <c r="R7" s="17"/>
      <c r="S7" s="60">
        <v>2314</v>
      </c>
      <c r="Y7">
        <f t="shared" si="1"/>
        <v>1</v>
      </c>
    </row>
    <row r="8" spans="1:25" ht="15.75" thickBot="1" x14ac:dyDescent="0.3">
      <c r="A8" s="10">
        <v>7</v>
      </c>
      <c r="B8">
        <v>5</v>
      </c>
      <c r="C8">
        <f t="shared" si="0"/>
        <v>2586</v>
      </c>
      <c r="D8">
        <f>LOOKUP(B8,Data!$A$2:$A$174,Data!$E$2:$E$174)</f>
        <v>2586</v>
      </c>
      <c r="E8" t="str">
        <f>LOOKUP(B8,Data!$A$2:$A$174,Data!$C$2:$C$174)</f>
        <v>SUI</v>
      </c>
      <c r="F8" t="str">
        <f>LOOKUP(B8,Data!$A$2:$A$174,Data!$D$2:$D$174)</f>
        <v>GM</v>
      </c>
      <c r="G8">
        <v>0.5</v>
      </c>
      <c r="H8" s="29" t="s">
        <v>4</v>
      </c>
      <c r="I8" s="34" t="s">
        <v>5</v>
      </c>
      <c r="J8" s="30" t="s">
        <v>6</v>
      </c>
      <c r="K8" s="34" t="s">
        <v>7</v>
      </c>
      <c r="L8" s="30" t="s">
        <v>9</v>
      </c>
      <c r="M8" s="35">
        <v>4.5</v>
      </c>
      <c r="N8" s="31">
        <v>4</v>
      </c>
      <c r="O8" s="32">
        <v>3.5</v>
      </c>
      <c r="P8" s="33"/>
      <c r="Q8" s="17"/>
      <c r="R8" s="17"/>
      <c r="S8" s="60">
        <v>2448</v>
      </c>
      <c r="Y8">
        <f t="shared" si="1"/>
        <v>1</v>
      </c>
    </row>
    <row r="9" spans="1:25" ht="15.75" thickBot="1" x14ac:dyDescent="0.3">
      <c r="A9" s="10">
        <v>8</v>
      </c>
      <c r="B9">
        <v>3</v>
      </c>
      <c r="C9">
        <f t="shared" si="0"/>
        <v>2614</v>
      </c>
      <c r="D9">
        <f>LOOKUP(B9,Data!$A$2:$A$174,Data!$E$2:$E$174)</f>
        <v>2614</v>
      </c>
      <c r="E9" t="str">
        <f>LOOKUP(B9,Data!$A$2:$A$174,Data!$C$2:$C$174)</f>
        <v>POL</v>
      </c>
      <c r="F9" t="str">
        <f>LOOKUP(B9,Data!$A$2:$A$174,Data!$D$2:$D$174)</f>
        <v>GM</v>
      </c>
      <c r="G9" t="s">
        <v>15</v>
      </c>
      <c r="H9" s="4">
        <f>9*2379.5-$C$16</f>
        <v>2173.5</v>
      </c>
      <c r="I9" s="21">
        <f>9*2433.5-$C$16</f>
        <v>2659.5</v>
      </c>
      <c r="J9" s="5">
        <f>9*2474.5-$C$16</f>
        <v>3028.5</v>
      </c>
      <c r="K9" s="69">
        <f>9*2519.5-$C$16</f>
        <v>3433.5</v>
      </c>
      <c r="L9" s="5">
        <f>9*2556.5-$C$16</f>
        <v>3766.5</v>
      </c>
      <c r="M9" s="21">
        <f>9*2599.5-$C$16</f>
        <v>4153.5</v>
      </c>
      <c r="N9" s="5">
        <f>9*2642.5-$C$16</f>
        <v>4540.5</v>
      </c>
      <c r="O9" s="21">
        <f>9*2679.5-$C$16</f>
        <v>4873.5</v>
      </c>
      <c r="P9" s="2" t="s">
        <v>0</v>
      </c>
      <c r="Q9" s="17"/>
      <c r="R9" s="17"/>
      <c r="S9" s="60">
        <v>2597</v>
      </c>
      <c r="Y9">
        <f t="shared" si="1"/>
        <v>1</v>
      </c>
    </row>
    <row r="10" spans="1:25" ht="15.75" thickBot="1" x14ac:dyDescent="0.3">
      <c r="A10" s="10">
        <v>9</v>
      </c>
      <c r="B10">
        <v>1000</v>
      </c>
      <c r="C10" t="str">
        <f t="shared" si="0"/>
        <v xml:space="preserve"> </v>
      </c>
      <c r="D10" t="str">
        <f>LOOKUP(B10,Data!$A$2:$A$174,Data!$E$2:$E$174)</f>
        <v xml:space="preserve"> </v>
      </c>
      <c r="E10" t="str">
        <f>LOOKUP(B10,Data!$A$2:$A$174,Data!$C$2:$C$174)</f>
        <v xml:space="preserve"> </v>
      </c>
      <c r="F10" t="str">
        <f>LOOKUP(B10,Data!$A$2:$A$174,Data!$D$2:$D$174)</f>
        <v xml:space="preserve"> </v>
      </c>
      <c r="H10" s="4">
        <f>9*2229.5-$C$16</f>
        <v>823.5</v>
      </c>
      <c r="I10" s="21">
        <f>9*2283.5-$C$16</f>
        <v>1309.5</v>
      </c>
      <c r="J10" s="5">
        <f>9*2324.5-$C$16</f>
        <v>1678.5</v>
      </c>
      <c r="K10" s="21">
        <f>9*2369.5-$C$16</f>
        <v>2083.5</v>
      </c>
      <c r="L10" s="5">
        <f>9*2406.5-$C$16</f>
        <v>2416.5</v>
      </c>
      <c r="M10" s="21">
        <f>9*2449.5-$C$16</f>
        <v>2803.5</v>
      </c>
      <c r="N10" s="5">
        <f>9*2492.5-$C$16</f>
        <v>3190.5</v>
      </c>
      <c r="O10" s="21">
        <f>9*2529.5-$C$16</f>
        <v>3523.5</v>
      </c>
      <c r="P10" s="2" t="s">
        <v>1</v>
      </c>
      <c r="Q10" s="17"/>
      <c r="R10" s="17"/>
      <c r="S10" s="60">
        <v>2492</v>
      </c>
      <c r="Y10">
        <f t="shared" si="1"/>
        <v>0</v>
      </c>
    </row>
    <row r="11" spans="1:25" x14ac:dyDescent="0.25">
      <c r="A11" s="10">
        <v>10</v>
      </c>
      <c r="B11">
        <v>1000</v>
      </c>
      <c r="C11" t="str">
        <f t="shared" si="0"/>
        <v xml:space="preserve"> </v>
      </c>
      <c r="D11" t="str">
        <f>LOOKUP(B11,Data!$A$2:$A$174,Data!$E$2:$E$174)</f>
        <v xml:space="preserve"> </v>
      </c>
      <c r="E11" t="str">
        <f>LOOKUP(B11,Data!$A$2:$A$174,Data!$C$2:$C$174)</f>
        <v xml:space="preserve"> </v>
      </c>
      <c r="F11" t="str">
        <f>LOOKUP(B11,Data!$A$2:$A$174,Data!$D$2:$D$174)</f>
        <v xml:space="preserve"> </v>
      </c>
      <c r="G11" t="s">
        <v>64</v>
      </c>
      <c r="H11" s="4">
        <f>9*2169.5-$C$16</f>
        <v>283.5</v>
      </c>
      <c r="I11" s="21">
        <f>9*2233.5-$C$16</f>
        <v>859.5</v>
      </c>
      <c r="J11" s="5">
        <f>9*2274.5-$C$16</f>
        <v>1228.5</v>
      </c>
      <c r="K11" s="21">
        <f>9*2319.5-$C$16</f>
        <v>1633.5</v>
      </c>
      <c r="L11" s="5">
        <f>9*2356.5-$C$16</f>
        <v>1966.5</v>
      </c>
      <c r="M11" s="21">
        <f>9*2399.5-$C$16</f>
        <v>2353.5</v>
      </c>
      <c r="N11" s="5">
        <f>9*2442.5-$C$16</f>
        <v>2740.5</v>
      </c>
      <c r="O11" s="21">
        <f>9*2479.5-$C$16</f>
        <v>3073.5</v>
      </c>
      <c r="P11" s="2" t="s">
        <v>2</v>
      </c>
      <c r="S11">
        <f>AVERAGE(S2:S10)</f>
        <v>2378.3333333333335</v>
      </c>
      <c r="Y11">
        <f t="shared" si="1"/>
        <v>0</v>
      </c>
    </row>
    <row r="12" spans="1:25" ht="15.75" thickBot="1" x14ac:dyDescent="0.3">
      <c r="A12" s="10">
        <v>11</v>
      </c>
      <c r="B12">
        <v>1000</v>
      </c>
      <c r="C12" t="str">
        <f t="shared" si="0"/>
        <v xml:space="preserve"> </v>
      </c>
      <c r="D12" t="str">
        <f>LOOKUP(B12,Data!$A$2:$A$174,Data!$E$2:$E$174)</f>
        <v xml:space="preserve"> </v>
      </c>
      <c r="E12" t="str">
        <f>LOOKUP(B12,Data!$A$2:$A$174,Data!$C$2:$C$174)</f>
        <v xml:space="preserve"> </v>
      </c>
      <c r="F12" t="str">
        <f>LOOKUP(B12,Data!$A$2:$A$174,Data!$D$2:$D$174)</f>
        <v xml:space="preserve"> </v>
      </c>
      <c r="H12" s="6">
        <f>9*2029.5-$C$16</f>
        <v>-976.5</v>
      </c>
      <c r="I12" s="22">
        <f>9*2083.5-$C$16</f>
        <v>-490.5</v>
      </c>
      <c r="J12" s="7">
        <f>9*2124.5-$C$16</f>
        <v>-121.5</v>
      </c>
      <c r="K12" s="21">
        <f>9*2169.5-$C$16</f>
        <v>283.5</v>
      </c>
      <c r="L12" s="7">
        <f>9*2206.5-$C$16</f>
        <v>616.5</v>
      </c>
      <c r="M12" s="22">
        <f>9*2249.5-$C$16</f>
        <v>1003.5</v>
      </c>
      <c r="N12" s="7">
        <f>9*2292.5-$C$16</f>
        <v>1390.5</v>
      </c>
      <c r="O12" s="22">
        <f>9*2329.5-$C$16</f>
        <v>1723.5</v>
      </c>
      <c r="P12" s="3" t="s">
        <v>3</v>
      </c>
      <c r="Y12">
        <f t="shared" si="1"/>
        <v>0</v>
      </c>
    </row>
    <row r="13" spans="1:25" ht="15.75" thickBot="1" x14ac:dyDescent="0.3">
      <c r="A13" s="10">
        <v>12</v>
      </c>
      <c r="B13">
        <v>1000</v>
      </c>
      <c r="C13" t="str">
        <f t="shared" si="0"/>
        <v xml:space="preserve"> </v>
      </c>
      <c r="D13" t="str">
        <f>LOOKUP(B13,Data!$A$2:$A$174,Data!$E$2:$E$174)</f>
        <v xml:space="preserve"> </v>
      </c>
      <c r="E13" t="str">
        <f>LOOKUP(B13,Data!$A$2:$A$174,Data!$C$2:$C$174)</f>
        <v xml:space="preserve"> </v>
      </c>
      <c r="F13" t="str">
        <f>LOOKUP(B13,Data!$A$2:$A$174,Data!$D$2:$D$174)</f>
        <v xml:space="preserve"> </v>
      </c>
      <c r="H13" s="85" t="s">
        <v>14</v>
      </c>
      <c r="I13" s="80"/>
      <c r="J13" s="80"/>
      <c r="K13" s="80"/>
      <c r="L13" s="80"/>
      <c r="M13" s="80"/>
      <c r="N13" s="8"/>
      <c r="O13" s="8"/>
      <c r="P13" s="8"/>
      <c r="Q13" s="8"/>
      <c r="R13" s="9"/>
      <c r="Y13">
        <f t="shared" si="1"/>
        <v>0</v>
      </c>
    </row>
    <row r="14" spans="1:25" x14ac:dyDescent="0.25">
      <c r="A14" s="10">
        <v>13</v>
      </c>
      <c r="B14">
        <v>1000</v>
      </c>
      <c r="C14" t="str">
        <f t="shared" si="0"/>
        <v xml:space="preserve"> </v>
      </c>
      <c r="D14" t="str">
        <f>LOOKUP(B14,Data!$A$2:$A$174,Data!$E$2:$E$174)</f>
        <v xml:space="preserve"> </v>
      </c>
      <c r="E14" t="str">
        <f>LOOKUP(B14,Data!$A$2:$A$174,Data!$C$2:$C$174)</f>
        <v xml:space="preserve"> </v>
      </c>
      <c r="F14" t="str">
        <f>LOOKUP(B14,Data!$A$2:$A$174,Data!$D$2:$D$174)</f>
        <v xml:space="preserve"> </v>
      </c>
      <c r="H14" s="29">
        <v>8</v>
      </c>
      <c r="I14" s="34">
        <v>7.5</v>
      </c>
      <c r="J14" s="30">
        <v>7</v>
      </c>
      <c r="K14" s="34">
        <v>6.5</v>
      </c>
      <c r="L14" s="30">
        <v>6</v>
      </c>
      <c r="M14" s="34">
        <v>5.5</v>
      </c>
      <c r="N14" s="30">
        <v>5</v>
      </c>
      <c r="O14" s="34">
        <v>4.5</v>
      </c>
      <c r="P14" s="30">
        <v>4</v>
      </c>
      <c r="Q14" s="34">
        <v>3.5</v>
      </c>
      <c r="R14" s="40"/>
      <c r="Y14">
        <f t="shared" si="1"/>
        <v>0</v>
      </c>
    </row>
    <row r="15" spans="1:25" ht="15.75" thickBot="1" x14ac:dyDescent="0.3">
      <c r="A15" s="10" t="s">
        <v>19</v>
      </c>
      <c r="C15">
        <f>IF(O2&lt;O3,O3-O2,0)</f>
        <v>105</v>
      </c>
      <c r="H15" s="4">
        <f>10*2379.5-$C$16</f>
        <v>4553</v>
      </c>
      <c r="I15" s="13">
        <f>10*2406.5-$C$16</f>
        <v>4823</v>
      </c>
      <c r="J15" s="4">
        <f>10*2450.5-$C$16</f>
        <v>5263</v>
      </c>
      <c r="K15" s="13">
        <f>10*2489.5-$C$16</f>
        <v>5653</v>
      </c>
      <c r="L15" s="4">
        <f>10*2527.5-$C$16</f>
        <v>6033</v>
      </c>
      <c r="M15" s="13">
        <f>10*2563.5-$C$16</f>
        <v>6393</v>
      </c>
      <c r="N15" s="4">
        <f>10*2599.5-$C$16</f>
        <v>6753</v>
      </c>
      <c r="O15" s="13">
        <f>10*2635.5-$C$16</f>
        <v>7113</v>
      </c>
      <c r="P15" s="4">
        <f>10*2671.5-$C$16</f>
        <v>7473</v>
      </c>
      <c r="Q15" s="18">
        <f>10*2709.5-$C$16</f>
        <v>7853</v>
      </c>
      <c r="R15" s="2" t="s">
        <v>0</v>
      </c>
      <c r="Y15">
        <f>SUM(Y2:Y14)</f>
        <v>8</v>
      </c>
    </row>
    <row r="16" spans="1:25" ht="21.75" thickBot="1" x14ac:dyDescent="0.4">
      <c r="A16" s="77" t="s">
        <v>38</v>
      </c>
      <c r="B16" s="77"/>
      <c r="C16">
        <f>SUM(C2:C15)</f>
        <v>19242</v>
      </c>
      <c r="F16" s="50" t="s">
        <v>37</v>
      </c>
      <c r="G16" s="49">
        <f>SUM(G2:G14)</f>
        <v>5</v>
      </c>
      <c r="H16" s="4">
        <f>10*2229.5-$C$16</f>
        <v>3053</v>
      </c>
      <c r="I16" s="13">
        <f>10*2256.5-$C$16</f>
        <v>3323</v>
      </c>
      <c r="J16" s="4">
        <f>10*2300.5-$C$16</f>
        <v>3763</v>
      </c>
      <c r="K16" s="13">
        <f>10*2339.5-$C$16</f>
        <v>4153</v>
      </c>
      <c r="L16" s="4">
        <f>10*2377.5-$C$16</f>
        <v>4533</v>
      </c>
      <c r="M16" s="13">
        <f>10*2413.5-$C$16</f>
        <v>4893</v>
      </c>
      <c r="N16" s="4">
        <f>10*2449.5-$C$16</f>
        <v>5253</v>
      </c>
      <c r="O16" s="13">
        <f>10*2489.5-$C$16</f>
        <v>5653</v>
      </c>
      <c r="P16" s="4">
        <f>10*2521.5-$C$16</f>
        <v>5973</v>
      </c>
      <c r="Q16" s="13">
        <f>10*2559.5-$C$16</f>
        <v>6353</v>
      </c>
      <c r="R16" s="2" t="s">
        <v>1</v>
      </c>
    </row>
    <row r="17" spans="1:20" ht="15.75" thickBot="1" x14ac:dyDescent="0.3">
      <c r="A17" s="66" t="s">
        <v>32</v>
      </c>
      <c r="C17">
        <f>C16/Y15</f>
        <v>2405.25</v>
      </c>
      <c r="H17" s="4">
        <f>10*2179.5-$C$16</f>
        <v>2553</v>
      </c>
      <c r="I17" s="13">
        <f>10*2206.5-$C$16</f>
        <v>2823</v>
      </c>
      <c r="J17" s="4">
        <f>10*2250.5-$C$16</f>
        <v>3263</v>
      </c>
      <c r="K17" s="13">
        <f>10*2289.5-$C$16</f>
        <v>3653</v>
      </c>
      <c r="L17" s="4">
        <f>10*2327.5-$C$16</f>
        <v>4033</v>
      </c>
      <c r="M17" s="13">
        <f>10*2363.5-$C$16</f>
        <v>4393</v>
      </c>
      <c r="N17" s="4">
        <f>10*2399.5-$C$16</f>
        <v>4753</v>
      </c>
      <c r="O17" s="13">
        <f>10*2435.5-$C$16</f>
        <v>5113</v>
      </c>
      <c r="P17" s="4">
        <f>10*2471.5-$C$16</f>
        <v>5473</v>
      </c>
      <c r="Q17" s="13">
        <f>10*2509.5-$C$16</f>
        <v>5853</v>
      </c>
      <c r="R17" s="2" t="s">
        <v>2</v>
      </c>
    </row>
    <row r="18" spans="1:20" ht="15.75" thickBot="1" x14ac:dyDescent="0.3">
      <c r="A18" s="68"/>
      <c r="B18" s="57"/>
      <c r="C18" s="80" t="s">
        <v>63</v>
      </c>
      <c r="D18" s="80"/>
      <c r="E18" s="81"/>
      <c r="H18" s="6">
        <f>10*2029.5-$C$16</f>
        <v>1053</v>
      </c>
      <c r="I18" s="14">
        <f>10*2056.5-$C$16</f>
        <v>1323</v>
      </c>
      <c r="J18" s="6">
        <f>10*2100.5-$C$16</f>
        <v>1763</v>
      </c>
      <c r="K18" s="14">
        <f>10*2139.5-$C$16</f>
        <v>2153</v>
      </c>
      <c r="L18" s="6">
        <f>10*2177.5-$C$16</f>
        <v>2533</v>
      </c>
      <c r="M18" s="14">
        <f>10*2213.5-$C$16</f>
        <v>2893</v>
      </c>
      <c r="N18" s="6">
        <f>10*2249.5-$C$16</f>
        <v>3253</v>
      </c>
      <c r="O18" s="14">
        <f>10*2285.5-$C$16</f>
        <v>3613</v>
      </c>
      <c r="P18" s="6">
        <f>10*2321.5-$C$16</f>
        <v>3973</v>
      </c>
      <c r="Q18" s="14">
        <f>10*2359.5-$C$16</f>
        <v>4353</v>
      </c>
      <c r="R18" s="3" t="s">
        <v>3</v>
      </c>
    </row>
    <row r="19" spans="1:20" ht="19.5" thickBot="1" x14ac:dyDescent="0.35">
      <c r="A19" s="58" t="s">
        <v>62</v>
      </c>
      <c r="B19" s="59">
        <v>17</v>
      </c>
      <c r="C19" s="78" t="str">
        <f>LOOKUP($B19,Data!$A$2:$A$174,Data!$B$2:$B$174)</f>
        <v>Player 17</v>
      </c>
      <c r="D19" s="78"/>
      <c r="E19" s="79"/>
      <c r="H19" s="85" t="s">
        <v>16</v>
      </c>
      <c r="I19" s="80"/>
      <c r="J19" s="80"/>
      <c r="K19" s="80"/>
      <c r="L19" s="80"/>
      <c r="M19" s="80"/>
      <c r="N19" s="36"/>
      <c r="O19" s="36"/>
      <c r="P19" s="36"/>
      <c r="Q19" s="36"/>
      <c r="R19" s="36"/>
      <c r="S19" s="37"/>
      <c r="T19" s="10"/>
    </row>
    <row r="20" spans="1:20" x14ac:dyDescent="0.25">
      <c r="H20" s="29">
        <v>9</v>
      </c>
      <c r="I20" s="39">
        <v>8.5</v>
      </c>
      <c r="J20" s="47">
        <v>8</v>
      </c>
      <c r="K20" s="39">
        <v>7.5</v>
      </c>
      <c r="L20" s="46">
        <v>7</v>
      </c>
      <c r="M20" s="39">
        <v>6.5</v>
      </c>
      <c r="N20" s="46">
        <v>6</v>
      </c>
      <c r="O20" s="39">
        <v>5.5</v>
      </c>
      <c r="P20" s="46">
        <v>5</v>
      </c>
      <c r="Q20" s="39">
        <v>4.5</v>
      </c>
      <c r="R20" s="46">
        <v>4</v>
      </c>
      <c r="S20" s="9"/>
    </row>
    <row r="21" spans="1:20" x14ac:dyDescent="0.25">
      <c r="H21" s="4">
        <f>11*2379.5-$C$16</f>
        <v>6932.5</v>
      </c>
      <c r="I21" s="13">
        <f>11*2388.5-$C$16</f>
        <v>7031.5</v>
      </c>
      <c r="J21" s="4">
        <f>11*2424.5-$C$16</f>
        <v>7427.5</v>
      </c>
      <c r="K21" s="13">
        <f>11*2466.5-$C$16</f>
        <v>7889.5</v>
      </c>
      <c r="L21" s="4">
        <f>11*2497.5-$C$16</f>
        <v>8230.5</v>
      </c>
      <c r="M21" s="13">
        <f>11*2534.5-$C$16</f>
        <v>8637.5</v>
      </c>
      <c r="N21" s="4">
        <f>11*2563.5-$C$16</f>
        <v>8956.5</v>
      </c>
      <c r="O21" s="13">
        <f>11*2599.5-$C$16</f>
        <v>9352.5</v>
      </c>
      <c r="P21" s="4">
        <f>11*2635.5-$C$16</f>
        <v>9748.5</v>
      </c>
      <c r="Q21" s="13">
        <f>11*2664.5-$C$16</f>
        <v>10067.5</v>
      </c>
      <c r="R21" s="4">
        <f>11*2701.5-$C$16</f>
        <v>10474.5</v>
      </c>
      <c r="S21" s="2" t="s">
        <v>0</v>
      </c>
    </row>
    <row r="22" spans="1:20" x14ac:dyDescent="0.25">
      <c r="H22" s="4">
        <f>11*2229.5-$C$16</f>
        <v>5282.5</v>
      </c>
      <c r="I22" s="13">
        <f>11*2238.5-$C$16</f>
        <v>5381.5</v>
      </c>
      <c r="J22" s="4">
        <f>11*2274.5-$C$16</f>
        <v>5777.5</v>
      </c>
      <c r="K22" s="13">
        <f>11*2316.5-$C$16</f>
        <v>6239.5</v>
      </c>
      <c r="L22" s="4">
        <f>11*2347.5-$C$16</f>
        <v>6580.5</v>
      </c>
      <c r="M22" s="13">
        <f>11*2384.5-$C$16</f>
        <v>6987.5</v>
      </c>
      <c r="N22" s="4">
        <f>11*2413.5-$C$16</f>
        <v>7306.5</v>
      </c>
      <c r="O22" s="13">
        <f>11*2449.5-$C$16</f>
        <v>7702.5</v>
      </c>
      <c r="P22" s="4">
        <f>11*2485.5-$C$16</f>
        <v>8098.5</v>
      </c>
      <c r="Q22" s="13">
        <f>11*2514.5-$C$16</f>
        <v>8417.5</v>
      </c>
      <c r="R22" s="4">
        <f>11*2551.5-$C$16</f>
        <v>8824.5</v>
      </c>
      <c r="S22" s="2" t="s">
        <v>1</v>
      </c>
    </row>
    <row r="23" spans="1:20" x14ac:dyDescent="0.25">
      <c r="H23" s="4">
        <f>11*2179.5-$C$16</f>
        <v>4732.5</v>
      </c>
      <c r="I23" s="13">
        <f>11*2188.5-$C$16</f>
        <v>4831.5</v>
      </c>
      <c r="J23" s="4">
        <f>11*2224.5-$C$16</f>
        <v>5227.5</v>
      </c>
      <c r="K23" s="13">
        <f>11*2266.5-$C$16</f>
        <v>5689.5</v>
      </c>
      <c r="L23" s="4">
        <f>11*2297.5-$C$16</f>
        <v>6030.5</v>
      </c>
      <c r="M23" s="13">
        <f>11*2334.5-$C$16</f>
        <v>6437.5</v>
      </c>
      <c r="N23" s="4">
        <f>11*2363.5-$C$16</f>
        <v>6756.5</v>
      </c>
      <c r="O23" s="13">
        <f>11*2399.5-$C$16</f>
        <v>7152.5</v>
      </c>
      <c r="P23" s="4">
        <f>11*2435.5-$C$16</f>
        <v>7548.5</v>
      </c>
      <c r="Q23" s="13">
        <f>11*2464.5-$C$16</f>
        <v>7867.5</v>
      </c>
      <c r="R23" s="4">
        <f>11*2501.5-$C$16</f>
        <v>8274.5</v>
      </c>
      <c r="S23" s="2" t="s">
        <v>2</v>
      </c>
    </row>
    <row r="24" spans="1:20" ht="15.75" thickBot="1" x14ac:dyDescent="0.3">
      <c r="H24" s="6">
        <f>11*2029.5-$C$16</f>
        <v>3082.5</v>
      </c>
      <c r="I24" s="14">
        <f>11*2038.5-$C$16</f>
        <v>3181.5</v>
      </c>
      <c r="J24" s="6">
        <f>11*2074.5-$C$16</f>
        <v>3577.5</v>
      </c>
      <c r="K24" s="14">
        <f>11*2116.5-$C$16</f>
        <v>4039.5</v>
      </c>
      <c r="L24" s="6">
        <f>11*2147.5-$C$16</f>
        <v>4380.5</v>
      </c>
      <c r="M24" s="14">
        <f>11*2184.5-$C$16</f>
        <v>4787.5</v>
      </c>
      <c r="N24" s="6">
        <f>11*2213.5-$C$16</f>
        <v>5106.5</v>
      </c>
      <c r="O24" s="14">
        <f>11*2249.5-$C$16</f>
        <v>5502.5</v>
      </c>
      <c r="P24" s="6">
        <f>11*2285.5-$C$16</f>
        <v>5898.5</v>
      </c>
      <c r="Q24" s="14">
        <f>11*2314.5-$C$16</f>
        <v>6217.5</v>
      </c>
      <c r="R24" s="6">
        <f>11*2351.5-$C$16</f>
        <v>6624.5</v>
      </c>
      <c r="S24" s="3" t="s">
        <v>3</v>
      </c>
    </row>
    <row r="25" spans="1:20" x14ac:dyDescent="0.25">
      <c r="H25" s="15"/>
      <c r="I25" s="16"/>
      <c r="J25" s="16"/>
      <c r="K25" s="16"/>
      <c r="L25" s="16"/>
      <c r="M25" s="75"/>
      <c r="N25" s="75"/>
      <c r="O25" s="75"/>
      <c r="P25" s="75"/>
      <c r="Q25" s="76"/>
    </row>
    <row r="26" spans="1:20" x14ac:dyDescent="0.25">
      <c r="H26" s="17"/>
      <c r="I26" s="17"/>
      <c r="J26" s="17"/>
      <c r="K26" s="17"/>
      <c r="L26" s="17"/>
    </row>
    <row r="27" spans="1:20" x14ac:dyDescent="0.25">
      <c r="H27" s="17"/>
      <c r="I27" s="17"/>
      <c r="J27" s="17"/>
      <c r="K27" s="17"/>
      <c r="L27" s="17"/>
    </row>
    <row r="28" spans="1:20" x14ac:dyDescent="0.25">
      <c r="H28" s="17"/>
      <c r="I28" s="17"/>
      <c r="J28" s="17"/>
      <c r="K28" s="17"/>
      <c r="L28" s="17"/>
    </row>
    <row r="29" spans="1:20" x14ac:dyDescent="0.25">
      <c r="H29" s="17"/>
      <c r="I29" s="17"/>
      <c r="J29" s="17"/>
      <c r="K29" s="17"/>
      <c r="L29" s="17"/>
    </row>
    <row r="30" spans="1:20" x14ac:dyDescent="0.25">
      <c r="H30" s="17"/>
      <c r="I30" s="17"/>
      <c r="J30" s="17"/>
      <c r="K30" s="17"/>
      <c r="L30" s="17"/>
    </row>
    <row r="31" spans="1:20" x14ac:dyDescent="0.25">
      <c r="H31" s="17"/>
      <c r="I31" s="17"/>
      <c r="J31" s="17"/>
      <c r="K31" s="17"/>
      <c r="L31" s="17"/>
    </row>
    <row r="32" spans="1:20" x14ac:dyDescent="0.25">
      <c r="H32" s="17"/>
      <c r="I32" s="17"/>
      <c r="J32" s="17"/>
      <c r="K32" s="17"/>
      <c r="L32" s="17"/>
    </row>
    <row r="33" spans="8:12" x14ac:dyDescent="0.25">
      <c r="H33" s="17"/>
      <c r="I33" s="17"/>
      <c r="J33" s="17"/>
      <c r="K33" s="17"/>
      <c r="L33" s="17"/>
    </row>
  </sheetData>
  <mergeCells count="8">
    <mergeCell ref="M25:Q25"/>
    <mergeCell ref="I1:J1"/>
    <mergeCell ref="H7:M7"/>
    <mergeCell ref="H13:M13"/>
    <mergeCell ref="A16:B16"/>
    <mergeCell ref="C18:E18"/>
    <mergeCell ref="C19:E19"/>
    <mergeCell ref="H19:M19"/>
  </mergeCells>
  <dataValidations count="1">
    <dataValidation type="list" allowBlank="1" showInputMessage="1" showErrorMessage="1" sqref="M1" xr:uid="{00000000-0002-0000-0400-000000000000}">
      <formula1>Select_Title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3"/>
  <sheetViews>
    <sheetView zoomScale="71" zoomScaleNormal="71" workbookViewId="0">
      <selection activeCell="M2" sqref="M2"/>
    </sheetView>
  </sheetViews>
  <sheetFormatPr defaultRowHeight="15" x14ac:dyDescent="0.25"/>
  <cols>
    <col min="1" max="1" width="3.85546875" style="10" customWidth="1"/>
    <col min="2" max="2" width="6.140625" bestFit="1" customWidth="1"/>
    <col min="8" max="13" width="7.7109375" bestFit="1" customWidth="1"/>
    <col min="15" max="18" width="7" bestFit="1" customWidth="1"/>
  </cols>
  <sheetData>
    <row r="1" spans="1:25" ht="30.75" thickBot="1" x14ac:dyDescent="0.3">
      <c r="A1" s="67" t="s">
        <v>36</v>
      </c>
      <c r="B1" s="43" t="s">
        <v>18</v>
      </c>
      <c r="C1" s="43" t="s">
        <v>10</v>
      </c>
      <c r="D1" s="43" t="s">
        <v>31</v>
      </c>
      <c r="E1" s="43" t="s">
        <v>17</v>
      </c>
      <c r="F1" s="43" t="s">
        <v>34</v>
      </c>
      <c r="G1" s="43" t="s">
        <v>11</v>
      </c>
      <c r="H1" s="41"/>
      <c r="I1" s="82" t="s">
        <v>8</v>
      </c>
      <c r="J1" s="82"/>
      <c r="K1" s="43"/>
      <c r="L1" s="44" t="s">
        <v>35</v>
      </c>
      <c r="M1" s="43" t="s">
        <v>92</v>
      </c>
    </row>
    <row r="2" spans="1:25" ht="21" customHeight="1" thickBot="1" x14ac:dyDescent="0.3">
      <c r="A2" s="10">
        <v>1</v>
      </c>
      <c r="B2">
        <v>49</v>
      </c>
      <c r="C2">
        <f>IF(D2=0,1000,D2)</f>
        <v>2162</v>
      </c>
      <c r="D2">
        <f>LOOKUP(B2,Data!$A$2:$A$174,Data!$E$2:$E$174)</f>
        <v>2162</v>
      </c>
      <c r="E2" t="str">
        <f>LOOKUP(B2,Data!$A$2:$A$174,Data!$C$2:$C$174)</f>
        <v>ENG</v>
      </c>
      <c r="F2">
        <f>LOOKUP(B2,Data!$A$2:$A$174,Data!$D$2:$D$174)</f>
        <v>0</v>
      </c>
      <c r="G2">
        <v>0.5</v>
      </c>
      <c r="H2" s="42"/>
      <c r="I2" s="1" t="s">
        <v>0</v>
      </c>
      <c r="J2" s="1">
        <v>2200</v>
      </c>
      <c r="N2" s="23" t="s">
        <v>30</v>
      </c>
      <c r="O2" s="24">
        <f>MIN(C2:C14)</f>
        <v>2000</v>
      </c>
      <c r="P2" s="16"/>
      <c r="Q2" s="16"/>
      <c r="R2" s="16"/>
      <c r="S2" s="60">
        <v>2238</v>
      </c>
      <c r="Y2">
        <f>IF(C2=" ",0,1)</f>
        <v>1</v>
      </c>
    </row>
    <row r="3" spans="1:25" ht="21.75" thickBot="1" x14ac:dyDescent="0.3">
      <c r="A3" s="10">
        <v>2</v>
      </c>
      <c r="B3">
        <v>59</v>
      </c>
      <c r="C3">
        <f t="shared" ref="C3:C14" si="0">IF(D3=0,1000,D3)</f>
        <v>2080</v>
      </c>
      <c r="D3">
        <f>LOOKUP(B3,Data!$A$2:$A$174,Data!$E$2:$E$174)</f>
        <v>2080</v>
      </c>
      <c r="E3" t="str">
        <f>LOOKUP(B3,Data!$A$2:$A$174,Data!$C$2:$C$174)</f>
        <v>GER</v>
      </c>
      <c r="F3">
        <f>LOOKUP(B3,Data!$A$2:$A$174,Data!$D$2:$D$174)</f>
        <v>0</v>
      </c>
      <c r="G3">
        <v>1</v>
      </c>
      <c r="I3" s="1" t="s">
        <v>1</v>
      </c>
      <c r="J3" s="1">
        <v>2050</v>
      </c>
      <c r="N3" s="25" t="s">
        <v>33</v>
      </c>
      <c r="O3" s="26">
        <f>IF(M1="GM",J2,IF(M1="IM",J3,IF(M1="WGM",J4,J5)))</f>
        <v>2050</v>
      </c>
      <c r="P3" s="17"/>
      <c r="Q3" s="17"/>
      <c r="R3" s="17"/>
      <c r="S3" s="60">
        <v>2462</v>
      </c>
      <c r="Y3">
        <f t="shared" ref="Y3:Y14" si="1">IF(C3=" ",0,1)</f>
        <v>1</v>
      </c>
    </row>
    <row r="4" spans="1:25" ht="15.75" thickBot="1" x14ac:dyDescent="0.3">
      <c r="A4" s="10">
        <v>3</v>
      </c>
      <c r="B4">
        <v>75</v>
      </c>
      <c r="C4">
        <f t="shared" si="0"/>
        <v>2000</v>
      </c>
      <c r="D4">
        <f>LOOKUP(B4,Data!$A$2:$A$174,Data!$E$2:$E$174)</f>
        <v>2000</v>
      </c>
      <c r="E4" t="str">
        <f>LOOKUP(B4,Data!$A$2:$A$174,Data!$C$2:$C$174)</f>
        <v>GER</v>
      </c>
      <c r="F4">
        <f>LOOKUP(B4,Data!$A$2:$A$174,Data!$D$2:$D$174)</f>
        <v>0</v>
      </c>
      <c r="G4">
        <v>1</v>
      </c>
      <c r="I4" s="1" t="s">
        <v>2</v>
      </c>
      <c r="J4" s="1">
        <v>2000</v>
      </c>
      <c r="N4" s="17"/>
      <c r="O4" s="17"/>
      <c r="P4" s="17"/>
      <c r="Q4" s="17"/>
      <c r="R4" s="17"/>
      <c r="S4" s="60">
        <v>2552</v>
      </c>
      <c r="Y4">
        <f t="shared" si="1"/>
        <v>1</v>
      </c>
    </row>
    <row r="5" spans="1:25" ht="15.75" thickBot="1" x14ac:dyDescent="0.3">
      <c r="A5" s="10">
        <v>4</v>
      </c>
      <c r="B5">
        <v>8</v>
      </c>
      <c r="C5">
        <f t="shared" si="0"/>
        <v>2566</v>
      </c>
      <c r="D5">
        <f>LOOKUP(B5,Data!$A$2:$A$174,Data!$E$2:$E$174)</f>
        <v>2566</v>
      </c>
      <c r="E5" t="str">
        <f>LOOKUP(B5,Data!$A$2:$A$174,Data!$C$2:$C$174)</f>
        <v>IND</v>
      </c>
      <c r="F5" t="str">
        <f>LOOKUP(B5,Data!$A$2:$A$174,Data!$D$2:$D$174)</f>
        <v>GM</v>
      </c>
      <c r="G5">
        <v>0</v>
      </c>
      <c r="I5" s="1" t="s">
        <v>3</v>
      </c>
      <c r="J5" s="1">
        <v>1850</v>
      </c>
      <c r="N5" s="17"/>
      <c r="O5" s="17"/>
      <c r="P5" s="17"/>
      <c r="Q5" s="17"/>
      <c r="R5" s="17"/>
      <c r="S5" s="60">
        <v>1800</v>
      </c>
      <c r="Y5">
        <f t="shared" si="1"/>
        <v>1</v>
      </c>
    </row>
    <row r="6" spans="1:25" ht="15.75" thickBot="1" x14ac:dyDescent="0.3">
      <c r="A6" s="10">
        <v>5</v>
      </c>
      <c r="B6">
        <v>52</v>
      </c>
      <c r="C6">
        <f t="shared" si="0"/>
        <v>2144</v>
      </c>
      <c r="D6">
        <f>LOOKUP(B6,Data!$A$2:$A$174,Data!$E$2:$E$174)</f>
        <v>2144</v>
      </c>
      <c r="E6" t="str">
        <f>LOOKUP(B6,Data!$A$2:$A$174,Data!$C$2:$C$174)</f>
        <v>AUT</v>
      </c>
      <c r="F6">
        <f>LOOKUP(B6,Data!$A$2:$A$174,Data!$D$2:$D$174)</f>
        <v>0</v>
      </c>
      <c r="G6">
        <v>1</v>
      </c>
      <c r="N6" s="17"/>
      <c r="O6" s="17"/>
      <c r="P6" s="17"/>
      <c r="Q6" s="17"/>
      <c r="R6" s="17"/>
      <c r="S6" s="60">
        <v>2502</v>
      </c>
      <c r="Y6">
        <f t="shared" si="1"/>
        <v>1</v>
      </c>
    </row>
    <row r="7" spans="1:25" ht="15.75" thickBot="1" x14ac:dyDescent="0.3">
      <c r="A7" s="10">
        <v>6</v>
      </c>
      <c r="B7">
        <v>1</v>
      </c>
      <c r="C7">
        <f t="shared" si="0"/>
        <v>2676</v>
      </c>
      <c r="D7">
        <f>LOOKUP(B7,Data!$A$2:$A$174,Data!$E$2:$E$174)</f>
        <v>2676</v>
      </c>
      <c r="E7" t="str">
        <f>LOOKUP(B7,Data!$A$2:$A$174,Data!$C$2:$C$174)</f>
        <v>ISR</v>
      </c>
      <c r="F7" t="str">
        <f>LOOKUP(B7,Data!$A$2:$A$174,Data!$D$2:$D$174)</f>
        <v>GM</v>
      </c>
      <c r="G7">
        <v>0</v>
      </c>
      <c r="H7" s="83" t="s">
        <v>13</v>
      </c>
      <c r="I7" s="84"/>
      <c r="J7" s="84"/>
      <c r="K7" s="84"/>
      <c r="L7" s="84"/>
      <c r="M7" s="84"/>
      <c r="N7" s="27"/>
      <c r="O7" s="27"/>
      <c r="P7" s="28"/>
      <c r="Q7" s="17"/>
      <c r="R7" s="17"/>
      <c r="S7" s="60">
        <v>2314</v>
      </c>
      <c r="Y7">
        <f t="shared" si="1"/>
        <v>1</v>
      </c>
    </row>
    <row r="8" spans="1:25" ht="15.75" thickBot="1" x14ac:dyDescent="0.3">
      <c r="A8" s="10">
        <v>7</v>
      </c>
      <c r="B8">
        <v>38</v>
      </c>
      <c r="C8">
        <f t="shared" si="0"/>
        <v>2230</v>
      </c>
      <c r="D8">
        <f>LOOKUP(B8,Data!$A$2:$A$174,Data!$E$2:$E$174)</f>
        <v>2230</v>
      </c>
      <c r="E8" t="str">
        <f>LOOKUP(B8,Data!$A$2:$A$174,Data!$C$2:$C$174)</f>
        <v>ENG</v>
      </c>
      <c r="F8" t="str">
        <f>LOOKUP(B8,Data!$A$2:$A$174,Data!$D$2:$D$174)</f>
        <v>FM</v>
      </c>
      <c r="G8">
        <v>1</v>
      </c>
      <c r="H8" s="29" t="s">
        <v>4</v>
      </c>
      <c r="I8" s="34" t="s">
        <v>5</v>
      </c>
      <c r="J8" s="30" t="s">
        <v>6</v>
      </c>
      <c r="K8" s="34" t="s">
        <v>7</v>
      </c>
      <c r="L8" s="30" t="s">
        <v>9</v>
      </c>
      <c r="M8" s="35">
        <v>4.5</v>
      </c>
      <c r="N8" s="31">
        <v>4</v>
      </c>
      <c r="O8" s="32">
        <v>3.5</v>
      </c>
      <c r="P8" s="33"/>
      <c r="Q8" s="17"/>
      <c r="R8" s="17"/>
      <c r="S8" s="60">
        <v>2448</v>
      </c>
      <c r="Y8">
        <f t="shared" si="1"/>
        <v>1</v>
      </c>
    </row>
    <row r="9" spans="1:25" ht="15.75" thickBot="1" x14ac:dyDescent="0.3">
      <c r="A9" s="10">
        <v>8</v>
      </c>
      <c r="B9">
        <v>14</v>
      </c>
      <c r="C9">
        <f t="shared" si="0"/>
        <v>2460</v>
      </c>
      <c r="D9">
        <f>LOOKUP(B9,Data!$A$2:$A$174,Data!$E$2:$E$174)</f>
        <v>2460</v>
      </c>
      <c r="E9" t="str">
        <f>LOOKUP(B9,Data!$A$2:$A$174,Data!$C$2:$C$174)</f>
        <v>ENG</v>
      </c>
      <c r="F9" t="str">
        <f>LOOKUP(B9,Data!$A$2:$A$174,Data!$D$2:$D$174)</f>
        <v>GM</v>
      </c>
      <c r="G9" t="s">
        <v>15</v>
      </c>
      <c r="H9" s="4">
        <f>9*2379.5-$C$16</f>
        <v>3047.5</v>
      </c>
      <c r="I9" s="21">
        <f>9*2433.5-$C$16</f>
        <v>3533.5</v>
      </c>
      <c r="J9" s="5">
        <f>9*2474.5-$C$16</f>
        <v>3902.5</v>
      </c>
      <c r="K9" s="69">
        <f>9*2519.5-$C$16</f>
        <v>4307.5</v>
      </c>
      <c r="L9" s="5">
        <f>9*2556.5-$C$16</f>
        <v>4640.5</v>
      </c>
      <c r="M9" s="21">
        <f>9*2599.5-$C$16</f>
        <v>5027.5</v>
      </c>
      <c r="N9" s="5">
        <f>9*2642.5-$C$16</f>
        <v>5414.5</v>
      </c>
      <c r="O9" s="21">
        <f>9*2679.5-$C$16</f>
        <v>5747.5</v>
      </c>
      <c r="P9" s="2" t="s">
        <v>0</v>
      </c>
      <c r="Q9" s="17"/>
      <c r="R9" s="17"/>
      <c r="S9" s="60">
        <v>2597</v>
      </c>
      <c r="Y9">
        <f t="shared" si="1"/>
        <v>1</v>
      </c>
    </row>
    <row r="10" spans="1:25" ht="15.75" thickBot="1" x14ac:dyDescent="0.3">
      <c r="A10" s="10">
        <v>9</v>
      </c>
      <c r="B10">
        <v>1000</v>
      </c>
      <c r="C10" t="str">
        <f t="shared" si="0"/>
        <v xml:space="preserve"> </v>
      </c>
      <c r="D10" t="str">
        <f>LOOKUP(B10,Data!$A$2:$A$174,Data!$E$2:$E$174)</f>
        <v xml:space="preserve"> </v>
      </c>
      <c r="E10" t="str">
        <f>LOOKUP(B10,Data!$A$2:$A$174,Data!$C$2:$C$174)</f>
        <v xml:space="preserve"> </v>
      </c>
      <c r="F10" t="str">
        <f>LOOKUP(B10,Data!$A$2:$A$174,Data!$D$2:$D$174)</f>
        <v xml:space="preserve"> </v>
      </c>
      <c r="G10" t="s">
        <v>15</v>
      </c>
      <c r="H10" s="4">
        <f>9*2229.5-$C$16</f>
        <v>1697.5</v>
      </c>
      <c r="I10" s="21">
        <f>9*2283.5-$C$16</f>
        <v>2183.5</v>
      </c>
      <c r="J10" s="5">
        <f>9*2324.5-$C$16</f>
        <v>2552.5</v>
      </c>
      <c r="K10" s="21">
        <f>9*2369.5-$C$16</f>
        <v>2957.5</v>
      </c>
      <c r="L10" s="5">
        <f>9*2406.5-$C$16</f>
        <v>3290.5</v>
      </c>
      <c r="M10" s="21">
        <f>9*2449.5-$C$16</f>
        <v>3677.5</v>
      </c>
      <c r="N10" s="5">
        <f>9*2492.5-$C$16</f>
        <v>4064.5</v>
      </c>
      <c r="O10" s="21">
        <f>9*2529.5-$C$16</f>
        <v>4397.5</v>
      </c>
      <c r="P10" s="2" t="s">
        <v>1</v>
      </c>
      <c r="Q10" s="17"/>
      <c r="R10" s="17"/>
      <c r="S10" s="60">
        <v>2492</v>
      </c>
      <c r="Y10">
        <f t="shared" si="1"/>
        <v>0</v>
      </c>
    </row>
    <row r="11" spans="1:25" x14ac:dyDescent="0.25">
      <c r="A11" s="10">
        <v>10</v>
      </c>
      <c r="B11">
        <v>1000</v>
      </c>
      <c r="C11" t="str">
        <f t="shared" si="0"/>
        <v xml:space="preserve"> </v>
      </c>
      <c r="D11" t="str">
        <f>LOOKUP(B11,Data!$A$2:$A$174,Data!$E$2:$E$174)</f>
        <v xml:space="preserve"> </v>
      </c>
      <c r="E11" t="str">
        <f>LOOKUP(B11,Data!$A$2:$A$174,Data!$C$2:$C$174)</f>
        <v xml:space="preserve"> </v>
      </c>
      <c r="F11" t="str">
        <f>LOOKUP(B11,Data!$A$2:$A$174,Data!$D$2:$D$174)</f>
        <v xml:space="preserve"> </v>
      </c>
      <c r="G11" t="s">
        <v>64</v>
      </c>
      <c r="H11" s="4">
        <f>9*2169.5-$C$16</f>
        <v>1157.5</v>
      </c>
      <c r="I11" s="21">
        <f>9*2233.5-$C$16</f>
        <v>1733.5</v>
      </c>
      <c r="J11" s="5">
        <f>9*2274.5-$C$16</f>
        <v>2102.5</v>
      </c>
      <c r="K11" s="21">
        <f>9*2319.5-$C$16</f>
        <v>2507.5</v>
      </c>
      <c r="L11" s="5">
        <f>9*2356.5-$C$16</f>
        <v>2840.5</v>
      </c>
      <c r="M11" s="21">
        <f>9*2399.5-$C$16</f>
        <v>3227.5</v>
      </c>
      <c r="N11" s="5">
        <f>9*2442.5-$C$16</f>
        <v>3614.5</v>
      </c>
      <c r="O11" s="21">
        <f>9*2479.5-$C$16</f>
        <v>3947.5</v>
      </c>
      <c r="P11" s="2" t="s">
        <v>2</v>
      </c>
      <c r="S11">
        <f>AVERAGE(S2:S10)</f>
        <v>2378.3333333333335</v>
      </c>
      <c r="Y11">
        <f t="shared" si="1"/>
        <v>0</v>
      </c>
    </row>
    <row r="12" spans="1:25" ht="15.75" thickBot="1" x14ac:dyDescent="0.3">
      <c r="A12" s="10">
        <v>11</v>
      </c>
      <c r="B12">
        <v>1000</v>
      </c>
      <c r="C12" t="str">
        <f t="shared" si="0"/>
        <v xml:space="preserve"> </v>
      </c>
      <c r="D12" t="str">
        <f>LOOKUP(B12,Data!$A$2:$A$174,Data!$E$2:$E$174)</f>
        <v xml:space="preserve"> </v>
      </c>
      <c r="E12" t="str">
        <f>LOOKUP(B12,Data!$A$2:$A$174,Data!$C$2:$C$174)</f>
        <v xml:space="preserve"> </v>
      </c>
      <c r="F12" t="str">
        <f>LOOKUP(B12,Data!$A$2:$A$174,Data!$D$2:$D$174)</f>
        <v xml:space="preserve"> </v>
      </c>
      <c r="H12" s="6">
        <f>9*2029.5-$C$16</f>
        <v>-102.5</v>
      </c>
      <c r="I12" s="22">
        <f>9*2083.5-$C$16</f>
        <v>383.5</v>
      </c>
      <c r="J12" s="7">
        <f>9*2124.5-$C$16</f>
        <v>752.5</v>
      </c>
      <c r="K12" s="21">
        <f>9*2169.5-$C$16</f>
        <v>1157.5</v>
      </c>
      <c r="L12" s="7">
        <f>9*2206.5-$C$16</f>
        <v>1490.5</v>
      </c>
      <c r="M12" s="22">
        <f>9*2249.5-$C$16</f>
        <v>1877.5</v>
      </c>
      <c r="N12" s="7">
        <f>9*2292.5-$C$16</f>
        <v>2264.5</v>
      </c>
      <c r="O12" s="22">
        <f>9*2329.5-$C$16</f>
        <v>2597.5</v>
      </c>
      <c r="P12" s="3" t="s">
        <v>3</v>
      </c>
      <c r="Y12">
        <f t="shared" si="1"/>
        <v>0</v>
      </c>
    </row>
    <row r="13" spans="1:25" ht="15.75" thickBot="1" x14ac:dyDescent="0.3">
      <c r="A13" s="10">
        <v>12</v>
      </c>
      <c r="B13">
        <v>1000</v>
      </c>
      <c r="C13" t="str">
        <f t="shared" si="0"/>
        <v xml:space="preserve"> </v>
      </c>
      <c r="D13" t="str">
        <f>LOOKUP(B13,Data!$A$2:$A$174,Data!$E$2:$E$174)</f>
        <v xml:space="preserve"> </v>
      </c>
      <c r="E13" t="str">
        <f>LOOKUP(B13,Data!$A$2:$A$174,Data!$C$2:$C$174)</f>
        <v xml:space="preserve"> </v>
      </c>
      <c r="F13" t="str">
        <f>LOOKUP(B13,Data!$A$2:$A$174,Data!$D$2:$D$174)</f>
        <v xml:space="preserve"> </v>
      </c>
      <c r="H13" s="85" t="s">
        <v>14</v>
      </c>
      <c r="I13" s="80"/>
      <c r="J13" s="80"/>
      <c r="K13" s="80"/>
      <c r="L13" s="80"/>
      <c r="M13" s="80"/>
      <c r="N13" s="8"/>
      <c r="O13" s="8"/>
      <c r="P13" s="8"/>
      <c r="Q13" s="8"/>
      <c r="R13" s="9"/>
      <c r="Y13">
        <f t="shared" si="1"/>
        <v>0</v>
      </c>
    </row>
    <row r="14" spans="1:25" x14ac:dyDescent="0.25">
      <c r="A14" s="10">
        <v>13</v>
      </c>
      <c r="B14">
        <v>1000</v>
      </c>
      <c r="C14" t="str">
        <f t="shared" si="0"/>
        <v xml:space="preserve"> </v>
      </c>
      <c r="D14" t="str">
        <f>LOOKUP(B14,Data!$A$2:$A$174,Data!$E$2:$E$174)</f>
        <v xml:space="preserve"> </v>
      </c>
      <c r="E14" t="str">
        <f>LOOKUP(B14,Data!$A$2:$A$174,Data!$C$2:$C$174)</f>
        <v xml:space="preserve"> </v>
      </c>
      <c r="F14" t="str">
        <f>LOOKUP(B14,Data!$A$2:$A$174,Data!$D$2:$D$174)</f>
        <v xml:space="preserve"> </v>
      </c>
      <c r="H14" s="29">
        <v>8</v>
      </c>
      <c r="I14" s="34">
        <v>7.5</v>
      </c>
      <c r="J14" s="30">
        <v>7</v>
      </c>
      <c r="K14" s="34">
        <v>6.5</v>
      </c>
      <c r="L14" s="30">
        <v>6</v>
      </c>
      <c r="M14" s="34">
        <v>5.5</v>
      </c>
      <c r="N14" s="30">
        <v>5</v>
      </c>
      <c r="O14" s="34">
        <v>4.5</v>
      </c>
      <c r="P14" s="30">
        <v>4</v>
      </c>
      <c r="Q14" s="34">
        <v>3.5</v>
      </c>
      <c r="R14" s="40"/>
      <c r="Y14">
        <f t="shared" si="1"/>
        <v>0</v>
      </c>
    </row>
    <row r="15" spans="1:25" ht="15.75" thickBot="1" x14ac:dyDescent="0.3">
      <c r="A15" s="10" t="s">
        <v>19</v>
      </c>
      <c r="C15">
        <f>IF(O2&lt;O3,O3-O2,0)</f>
        <v>50</v>
      </c>
      <c r="H15" s="4">
        <f>10*2379.5-$C$16</f>
        <v>5427</v>
      </c>
      <c r="I15" s="13">
        <f>10*2406.5-$C$16</f>
        <v>5697</v>
      </c>
      <c r="J15" s="4">
        <f>10*2450.5-$C$16</f>
        <v>6137</v>
      </c>
      <c r="K15" s="13">
        <f>10*2489.5-$C$16</f>
        <v>6527</v>
      </c>
      <c r="L15" s="4">
        <f>10*2527.5-$C$16</f>
        <v>6907</v>
      </c>
      <c r="M15" s="13">
        <f>10*2563.5-$C$16</f>
        <v>7267</v>
      </c>
      <c r="N15" s="4">
        <f>10*2599.5-$C$16</f>
        <v>7627</v>
      </c>
      <c r="O15" s="13">
        <f>10*2635.5-$C$16</f>
        <v>7987</v>
      </c>
      <c r="P15" s="4">
        <f>10*2671.5-$C$16</f>
        <v>8347</v>
      </c>
      <c r="Q15" s="18">
        <f>10*2709.5-$C$16</f>
        <v>8727</v>
      </c>
      <c r="R15" s="2" t="s">
        <v>0</v>
      </c>
      <c r="Y15">
        <f>SUM(Y2:Y14)</f>
        <v>8</v>
      </c>
    </row>
    <row r="16" spans="1:25" ht="21.75" thickBot="1" x14ac:dyDescent="0.4">
      <c r="A16" s="77" t="s">
        <v>38</v>
      </c>
      <c r="B16" s="77"/>
      <c r="C16">
        <f>SUM(C2:C15)</f>
        <v>18368</v>
      </c>
      <c r="F16" s="50" t="s">
        <v>37</v>
      </c>
      <c r="G16" s="49">
        <f>SUM(G2:G14)</f>
        <v>4.5</v>
      </c>
      <c r="H16" s="4">
        <f>10*2229.5-$C$16</f>
        <v>3927</v>
      </c>
      <c r="I16" s="13">
        <f>10*2256.5-$C$16</f>
        <v>4197</v>
      </c>
      <c r="J16" s="4">
        <f>10*2300.5-$C$16</f>
        <v>4637</v>
      </c>
      <c r="K16" s="13">
        <f>10*2339.5-$C$16</f>
        <v>5027</v>
      </c>
      <c r="L16" s="4">
        <f>10*2377.5-$C$16</f>
        <v>5407</v>
      </c>
      <c r="M16" s="13">
        <f>10*2413.5-$C$16</f>
        <v>5767</v>
      </c>
      <c r="N16" s="4">
        <f>10*2449.5-$C$16</f>
        <v>6127</v>
      </c>
      <c r="O16" s="13">
        <f>10*2489.5-$C$16</f>
        <v>6527</v>
      </c>
      <c r="P16" s="4">
        <f>10*2521.5-$C$16</f>
        <v>6847</v>
      </c>
      <c r="Q16" s="13">
        <f>10*2559.5-$C$16</f>
        <v>7227</v>
      </c>
      <c r="R16" s="2" t="s">
        <v>1</v>
      </c>
    </row>
    <row r="17" spans="1:20" ht="15.75" thickBot="1" x14ac:dyDescent="0.3">
      <c r="A17" s="66" t="s">
        <v>32</v>
      </c>
      <c r="C17">
        <f>C16/Y15</f>
        <v>2296</v>
      </c>
      <c r="H17" s="4">
        <f>10*2179.5-$C$16</f>
        <v>3427</v>
      </c>
      <c r="I17" s="13">
        <f>10*2206.5-$C$16</f>
        <v>3697</v>
      </c>
      <c r="J17" s="4">
        <f>10*2250.5-$C$16</f>
        <v>4137</v>
      </c>
      <c r="K17" s="13">
        <f>10*2289.5-$C$16</f>
        <v>4527</v>
      </c>
      <c r="L17" s="4">
        <f>10*2327.5-$C$16</f>
        <v>4907</v>
      </c>
      <c r="M17" s="13">
        <f>10*2363.5-$C$16</f>
        <v>5267</v>
      </c>
      <c r="N17" s="4">
        <f>10*2399.5-$C$16</f>
        <v>5627</v>
      </c>
      <c r="O17" s="13">
        <f>10*2435.5-$C$16</f>
        <v>5987</v>
      </c>
      <c r="P17" s="4">
        <f>10*2471.5-$C$16</f>
        <v>6347</v>
      </c>
      <c r="Q17" s="13">
        <f>10*2509.5-$C$16</f>
        <v>6727</v>
      </c>
      <c r="R17" s="2" t="s">
        <v>2</v>
      </c>
    </row>
    <row r="18" spans="1:20" ht="15.75" thickBot="1" x14ac:dyDescent="0.3">
      <c r="A18" s="68"/>
      <c r="B18" s="57"/>
      <c r="C18" s="80" t="s">
        <v>63</v>
      </c>
      <c r="D18" s="80"/>
      <c r="E18" s="81"/>
      <c r="H18" s="6">
        <f>10*2029.5-$C$16</f>
        <v>1927</v>
      </c>
      <c r="I18" s="14">
        <f>10*2056.5-$C$16</f>
        <v>2197</v>
      </c>
      <c r="J18" s="6">
        <f>10*2100.5-$C$16</f>
        <v>2637</v>
      </c>
      <c r="K18" s="14">
        <f>10*2139.5-$C$16</f>
        <v>3027</v>
      </c>
      <c r="L18" s="6">
        <f>10*2177.5-$C$16</f>
        <v>3407</v>
      </c>
      <c r="M18" s="14">
        <f>10*2213.5-$C$16</f>
        <v>3767</v>
      </c>
      <c r="N18" s="6">
        <f>10*2249.5-$C$16</f>
        <v>4127</v>
      </c>
      <c r="O18" s="14">
        <f>10*2285.5-$C$16</f>
        <v>4487</v>
      </c>
      <c r="P18" s="6">
        <f>10*2321.5-$C$16</f>
        <v>4847</v>
      </c>
      <c r="Q18" s="14">
        <f>10*2359.5-$C$16</f>
        <v>5227</v>
      </c>
      <c r="R18" s="3" t="s">
        <v>3</v>
      </c>
    </row>
    <row r="19" spans="1:20" ht="19.5" thickBot="1" x14ac:dyDescent="0.35">
      <c r="A19" s="58" t="s">
        <v>62</v>
      </c>
      <c r="B19" s="59">
        <v>21</v>
      </c>
      <c r="C19" s="78" t="str">
        <f>LOOKUP($B19,Data!$A$2:$A$174,Data!$B$2:$B$174)</f>
        <v>Player 21</v>
      </c>
      <c r="D19" s="78"/>
      <c r="E19" s="79"/>
      <c r="H19" s="85" t="s">
        <v>16</v>
      </c>
      <c r="I19" s="80"/>
      <c r="J19" s="80"/>
      <c r="K19" s="80"/>
      <c r="L19" s="80"/>
      <c r="M19" s="80"/>
      <c r="N19" s="36"/>
      <c r="O19" s="36"/>
      <c r="P19" s="36"/>
      <c r="Q19" s="36"/>
      <c r="R19" s="36"/>
      <c r="S19" s="37"/>
      <c r="T19" s="10"/>
    </row>
    <row r="20" spans="1:20" x14ac:dyDescent="0.25">
      <c r="H20" s="29">
        <v>9</v>
      </c>
      <c r="I20" s="39">
        <v>8.5</v>
      </c>
      <c r="J20" s="47">
        <v>8</v>
      </c>
      <c r="K20" s="39">
        <v>7.5</v>
      </c>
      <c r="L20" s="46">
        <v>7</v>
      </c>
      <c r="M20" s="39">
        <v>6.5</v>
      </c>
      <c r="N20" s="46">
        <v>6</v>
      </c>
      <c r="O20" s="39">
        <v>5.5</v>
      </c>
      <c r="P20" s="46">
        <v>5</v>
      </c>
      <c r="Q20" s="39">
        <v>4.5</v>
      </c>
      <c r="R20" s="46">
        <v>4</v>
      </c>
      <c r="S20" s="9"/>
    </row>
    <row r="21" spans="1:20" x14ac:dyDescent="0.25">
      <c r="H21" s="4">
        <f>11*2379.5-$C$16</f>
        <v>7806.5</v>
      </c>
      <c r="I21" s="13">
        <f>11*2388.5-$C$16</f>
        <v>7905.5</v>
      </c>
      <c r="J21" s="4">
        <f>11*2424.5-$C$16</f>
        <v>8301.5</v>
      </c>
      <c r="K21" s="13">
        <f>11*2466.5-$C$16</f>
        <v>8763.5</v>
      </c>
      <c r="L21" s="4">
        <f>11*2497.5-$C$16</f>
        <v>9104.5</v>
      </c>
      <c r="M21" s="13">
        <f>11*2534.5-$C$16</f>
        <v>9511.5</v>
      </c>
      <c r="N21" s="4">
        <f>11*2563.5-$C$16</f>
        <v>9830.5</v>
      </c>
      <c r="O21" s="13">
        <f>11*2599.5-$C$16</f>
        <v>10226.5</v>
      </c>
      <c r="P21" s="4">
        <f>11*2635.5-$C$16</f>
        <v>10622.5</v>
      </c>
      <c r="Q21" s="13">
        <f>11*2664.5-$C$16</f>
        <v>10941.5</v>
      </c>
      <c r="R21" s="4">
        <f>11*2701.5-$C$16</f>
        <v>11348.5</v>
      </c>
      <c r="S21" s="2" t="s">
        <v>0</v>
      </c>
    </row>
    <row r="22" spans="1:20" x14ac:dyDescent="0.25">
      <c r="H22" s="4">
        <f>11*2229.5-$C$16</f>
        <v>6156.5</v>
      </c>
      <c r="I22" s="13">
        <f>11*2238.5-$C$16</f>
        <v>6255.5</v>
      </c>
      <c r="J22" s="4">
        <f>11*2274.5-$C$16</f>
        <v>6651.5</v>
      </c>
      <c r="K22" s="13">
        <f>11*2316.5-$C$16</f>
        <v>7113.5</v>
      </c>
      <c r="L22" s="4">
        <f>11*2347.5-$C$16</f>
        <v>7454.5</v>
      </c>
      <c r="M22" s="13">
        <f>11*2384.5-$C$16</f>
        <v>7861.5</v>
      </c>
      <c r="N22" s="4">
        <f>11*2413.5-$C$16</f>
        <v>8180.5</v>
      </c>
      <c r="O22" s="13">
        <f>11*2449.5-$C$16</f>
        <v>8576.5</v>
      </c>
      <c r="P22" s="4">
        <f>11*2485.5-$C$16</f>
        <v>8972.5</v>
      </c>
      <c r="Q22" s="13">
        <f>11*2514.5-$C$16</f>
        <v>9291.5</v>
      </c>
      <c r="R22" s="4">
        <f>11*2551.5-$C$16</f>
        <v>9698.5</v>
      </c>
      <c r="S22" s="2" t="s">
        <v>1</v>
      </c>
    </row>
    <row r="23" spans="1:20" x14ac:dyDescent="0.25">
      <c r="H23" s="4">
        <f>11*2179.5-$C$16</f>
        <v>5606.5</v>
      </c>
      <c r="I23" s="13">
        <f>11*2188.5-$C$16</f>
        <v>5705.5</v>
      </c>
      <c r="J23" s="4">
        <f>11*2224.5-$C$16</f>
        <v>6101.5</v>
      </c>
      <c r="K23" s="13">
        <f>11*2266.5-$C$16</f>
        <v>6563.5</v>
      </c>
      <c r="L23" s="4">
        <f>11*2297.5-$C$16</f>
        <v>6904.5</v>
      </c>
      <c r="M23" s="13">
        <f>11*2334.5-$C$16</f>
        <v>7311.5</v>
      </c>
      <c r="N23" s="4">
        <f>11*2363.5-$C$16</f>
        <v>7630.5</v>
      </c>
      <c r="O23" s="13">
        <f>11*2399.5-$C$16</f>
        <v>8026.5</v>
      </c>
      <c r="P23" s="4">
        <f>11*2435.5-$C$16</f>
        <v>8422.5</v>
      </c>
      <c r="Q23" s="13">
        <f>11*2464.5-$C$16</f>
        <v>8741.5</v>
      </c>
      <c r="R23" s="4">
        <f>11*2501.5-$C$16</f>
        <v>9148.5</v>
      </c>
      <c r="S23" s="2" t="s">
        <v>2</v>
      </c>
    </row>
    <row r="24" spans="1:20" ht="15.75" thickBot="1" x14ac:dyDescent="0.3">
      <c r="H24" s="6">
        <f>11*2029.5-$C$16</f>
        <v>3956.5</v>
      </c>
      <c r="I24" s="14">
        <f>11*2038.5-$C$16</f>
        <v>4055.5</v>
      </c>
      <c r="J24" s="6">
        <f>11*2074.5-$C$16</f>
        <v>4451.5</v>
      </c>
      <c r="K24" s="14">
        <f>11*2116.5-$C$16</f>
        <v>4913.5</v>
      </c>
      <c r="L24" s="6">
        <f>11*2147.5-$C$16</f>
        <v>5254.5</v>
      </c>
      <c r="M24" s="14">
        <f>11*2184.5-$C$16</f>
        <v>5661.5</v>
      </c>
      <c r="N24" s="6">
        <f>11*2213.5-$C$16</f>
        <v>5980.5</v>
      </c>
      <c r="O24" s="14">
        <f>11*2249.5-$C$16</f>
        <v>6376.5</v>
      </c>
      <c r="P24" s="6">
        <f>11*2285.5-$C$16</f>
        <v>6772.5</v>
      </c>
      <c r="Q24" s="14">
        <f>11*2314.5-$C$16</f>
        <v>7091.5</v>
      </c>
      <c r="R24" s="6">
        <f>11*2351.5-$C$16</f>
        <v>7498.5</v>
      </c>
      <c r="S24" s="3" t="s">
        <v>3</v>
      </c>
    </row>
    <row r="25" spans="1:20" x14ac:dyDescent="0.25">
      <c r="H25" s="15"/>
      <c r="I25" s="16"/>
      <c r="J25" s="16"/>
      <c r="K25" s="16"/>
      <c r="L25" s="16"/>
      <c r="M25" s="75"/>
      <c r="N25" s="75"/>
      <c r="O25" s="75"/>
      <c r="P25" s="75"/>
      <c r="Q25" s="76"/>
    </row>
    <row r="26" spans="1:20" x14ac:dyDescent="0.25">
      <c r="H26" s="17"/>
      <c r="I26" s="17"/>
      <c r="J26" s="17"/>
      <c r="K26" s="17"/>
      <c r="L26" s="17"/>
    </row>
    <row r="27" spans="1:20" x14ac:dyDescent="0.25">
      <c r="H27" s="17"/>
      <c r="I27" s="17"/>
      <c r="J27" s="17"/>
      <c r="K27" s="17"/>
      <c r="L27" s="17"/>
    </row>
    <row r="28" spans="1:20" x14ac:dyDescent="0.25">
      <c r="H28" s="17"/>
      <c r="I28" s="17"/>
      <c r="J28" s="17"/>
      <c r="K28" s="17"/>
      <c r="L28" s="17"/>
    </row>
    <row r="29" spans="1:20" x14ac:dyDescent="0.25">
      <c r="H29" s="17"/>
      <c r="I29" s="17"/>
      <c r="J29" s="17"/>
      <c r="K29" s="17"/>
      <c r="L29" s="17"/>
    </row>
    <row r="30" spans="1:20" x14ac:dyDescent="0.25">
      <c r="H30" s="17"/>
      <c r="I30" s="17"/>
      <c r="J30" s="17"/>
      <c r="K30" s="17"/>
      <c r="L30" s="17"/>
    </row>
    <row r="31" spans="1:20" x14ac:dyDescent="0.25">
      <c r="H31" s="17"/>
      <c r="I31" s="17"/>
      <c r="J31" s="17"/>
      <c r="K31" s="17"/>
      <c r="L31" s="17"/>
    </row>
    <row r="32" spans="1:20" x14ac:dyDescent="0.25">
      <c r="H32" s="17"/>
      <c r="I32" s="17"/>
      <c r="J32" s="17"/>
      <c r="K32" s="17"/>
      <c r="L32" s="17"/>
    </row>
    <row r="33" spans="8:12" x14ac:dyDescent="0.25">
      <c r="H33" s="17"/>
      <c r="I33" s="17"/>
      <c r="J33" s="17"/>
      <c r="K33" s="17"/>
      <c r="L33" s="17"/>
    </row>
  </sheetData>
  <mergeCells count="8">
    <mergeCell ref="M25:Q25"/>
    <mergeCell ref="I1:J1"/>
    <mergeCell ref="H7:M7"/>
    <mergeCell ref="H13:M13"/>
    <mergeCell ref="A16:B16"/>
    <mergeCell ref="C18:E18"/>
    <mergeCell ref="C19:E19"/>
    <mergeCell ref="H19:M19"/>
  </mergeCells>
  <dataValidations count="1">
    <dataValidation type="list" allowBlank="1" showInputMessage="1" showErrorMessage="1" sqref="M1" xr:uid="{00000000-0002-0000-0500-000000000000}">
      <formula1>Select_Title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33"/>
  <sheetViews>
    <sheetView zoomScale="70" zoomScaleNormal="70" workbookViewId="0">
      <selection activeCell="M2" sqref="M2"/>
    </sheetView>
  </sheetViews>
  <sheetFormatPr defaultRowHeight="15" x14ac:dyDescent="0.25"/>
  <cols>
    <col min="1" max="1" width="3.85546875" style="10" customWidth="1"/>
    <col min="2" max="2" width="6.28515625" bestFit="1" customWidth="1"/>
    <col min="8" max="13" width="7.7109375" bestFit="1" customWidth="1"/>
    <col min="15" max="18" width="7" bestFit="1" customWidth="1"/>
  </cols>
  <sheetData>
    <row r="1" spans="1:25" ht="30.75" thickBot="1" x14ac:dyDescent="0.3">
      <c r="A1" s="67" t="s">
        <v>36</v>
      </c>
      <c r="B1" s="43" t="s">
        <v>18</v>
      </c>
      <c r="C1" s="43" t="s">
        <v>10</v>
      </c>
      <c r="D1" s="43" t="s">
        <v>31</v>
      </c>
      <c r="E1" s="43" t="s">
        <v>17</v>
      </c>
      <c r="F1" s="43" t="s">
        <v>34</v>
      </c>
      <c r="G1" s="43" t="s">
        <v>11</v>
      </c>
      <c r="H1" s="41"/>
      <c r="I1" s="82" t="s">
        <v>8</v>
      </c>
      <c r="J1" s="82"/>
      <c r="K1" s="43"/>
      <c r="L1" s="44" t="s">
        <v>35</v>
      </c>
      <c r="M1" s="43" t="s">
        <v>93</v>
      </c>
    </row>
    <row r="2" spans="1:25" ht="21" customHeight="1" thickBot="1" x14ac:dyDescent="0.3">
      <c r="A2" s="10">
        <v>1</v>
      </c>
      <c r="B2">
        <v>2</v>
      </c>
      <c r="C2">
        <f>IF(D2=0,1000,D2)</f>
        <v>2659</v>
      </c>
      <c r="D2">
        <f>LOOKUP(B2,Data!$A$2:$A$174,Data!$E$2:$E$174)</f>
        <v>2659</v>
      </c>
      <c r="E2" t="str">
        <f>LOOKUP(B2,Data!$A$2:$A$174,Data!$C$2:$C$174)</f>
        <v>FRA</v>
      </c>
      <c r="F2" t="str">
        <f>LOOKUP(B2,Data!$A$2:$A$174,Data!$D$2:$D$174)</f>
        <v>GM</v>
      </c>
      <c r="G2">
        <v>0</v>
      </c>
      <c r="H2" s="42"/>
      <c r="I2" s="1" t="s">
        <v>0</v>
      </c>
      <c r="J2" s="1">
        <v>2200</v>
      </c>
      <c r="N2" s="23" t="s">
        <v>30</v>
      </c>
      <c r="O2" s="24">
        <f>MIN(C2:C14)</f>
        <v>1981</v>
      </c>
      <c r="P2" s="16"/>
      <c r="Q2" s="16"/>
      <c r="R2" s="16"/>
      <c r="S2" s="60">
        <v>2238</v>
      </c>
      <c r="Y2">
        <f>IF(C2=" ",0,1)</f>
        <v>1</v>
      </c>
    </row>
    <row r="3" spans="1:25" ht="21.75" thickBot="1" x14ac:dyDescent="0.3">
      <c r="A3" s="10">
        <v>2</v>
      </c>
      <c r="B3">
        <v>68</v>
      </c>
      <c r="C3">
        <f t="shared" ref="C3:C14" si="0">IF(D3=0,1000,D3)</f>
        <v>2010</v>
      </c>
      <c r="D3">
        <f>LOOKUP(B3,Data!$A$2:$A$174,Data!$E$2:$E$174)</f>
        <v>2010</v>
      </c>
      <c r="E3" t="str">
        <f>LOOKUP(B3,Data!$A$2:$A$174,Data!$C$2:$C$174)</f>
        <v>NOR</v>
      </c>
      <c r="F3">
        <f>LOOKUP(B3,Data!$A$2:$A$174,Data!$D$2:$D$174)</f>
        <v>0</v>
      </c>
      <c r="G3">
        <v>1</v>
      </c>
      <c r="I3" s="1" t="s">
        <v>1</v>
      </c>
      <c r="J3" s="1">
        <v>2050</v>
      </c>
      <c r="N3" s="25" t="s">
        <v>33</v>
      </c>
      <c r="O3" s="26">
        <f>IF(M1="GM",J2,IF(M1="IM",J3,IF(M1="WGM",J4,J5)))</f>
        <v>2000</v>
      </c>
      <c r="P3" s="17"/>
      <c r="Q3" s="17"/>
      <c r="R3" s="17"/>
      <c r="S3" s="60">
        <v>2462</v>
      </c>
      <c r="Y3">
        <f t="shared" ref="Y3:Y14" si="1">IF(C3=" ",0,1)</f>
        <v>1</v>
      </c>
    </row>
    <row r="4" spans="1:25" ht="15.75" thickBot="1" x14ac:dyDescent="0.3">
      <c r="A4" s="10">
        <v>3</v>
      </c>
      <c r="B4">
        <v>69</v>
      </c>
      <c r="C4">
        <f t="shared" si="0"/>
        <v>2010</v>
      </c>
      <c r="D4">
        <f>LOOKUP(B4,Data!$A$2:$A$174,Data!$E$2:$E$174)</f>
        <v>2010</v>
      </c>
      <c r="E4" t="str">
        <f>LOOKUP(B4,Data!$A$2:$A$174,Data!$C$2:$C$174)</f>
        <v>GER</v>
      </c>
      <c r="F4">
        <f>LOOKUP(B4,Data!$A$2:$A$174,Data!$D$2:$D$174)</f>
        <v>0</v>
      </c>
      <c r="G4">
        <v>1</v>
      </c>
      <c r="I4" s="1" t="s">
        <v>2</v>
      </c>
      <c r="J4" s="1">
        <v>2000</v>
      </c>
      <c r="N4" s="17"/>
      <c r="O4" s="17"/>
      <c r="P4" s="17"/>
      <c r="Q4" s="17"/>
      <c r="R4" s="17"/>
      <c r="S4" s="60">
        <v>2552</v>
      </c>
      <c r="Y4">
        <f t="shared" si="1"/>
        <v>1</v>
      </c>
    </row>
    <row r="5" spans="1:25" ht="15.75" thickBot="1" x14ac:dyDescent="0.3">
      <c r="A5" s="10">
        <v>4</v>
      </c>
      <c r="B5">
        <v>106</v>
      </c>
      <c r="C5">
        <f t="shared" si="0"/>
        <v>1981</v>
      </c>
      <c r="D5">
        <f>LOOKUP(B5,Data!$A$2:$A$174,Data!$E$2:$E$174)</f>
        <v>1981</v>
      </c>
      <c r="E5" t="str">
        <f>LOOKUP(B5,Data!$A$2:$A$174,Data!$C$2:$C$174)</f>
        <v>MGL</v>
      </c>
      <c r="F5">
        <f>LOOKUP(B5,Data!$A$2:$A$174,Data!$D$2:$D$174)</f>
        <v>0</v>
      </c>
      <c r="G5">
        <v>1</v>
      </c>
      <c r="I5" s="1" t="s">
        <v>3</v>
      </c>
      <c r="J5" s="1">
        <v>1850</v>
      </c>
      <c r="N5" s="17"/>
      <c r="O5" s="17"/>
      <c r="P5" s="17"/>
      <c r="Q5" s="17"/>
      <c r="R5" s="17"/>
      <c r="S5" s="60">
        <v>1800</v>
      </c>
      <c r="Y5">
        <f t="shared" si="1"/>
        <v>1</v>
      </c>
    </row>
    <row r="6" spans="1:25" ht="15.75" thickBot="1" x14ac:dyDescent="0.3">
      <c r="A6" s="10">
        <v>5</v>
      </c>
      <c r="B6">
        <v>12</v>
      </c>
      <c r="C6">
        <f t="shared" si="0"/>
        <v>2499</v>
      </c>
      <c r="D6">
        <f>LOOKUP(B6,Data!$A$2:$A$174,Data!$E$2:$E$174)</f>
        <v>2499</v>
      </c>
      <c r="E6" t="str">
        <f>LOOKUP(B6,Data!$A$2:$A$174,Data!$C$2:$C$174)</f>
        <v>ENG</v>
      </c>
      <c r="F6" t="str">
        <f>LOOKUP(B6,Data!$A$2:$A$174,Data!$D$2:$D$174)</f>
        <v>GM</v>
      </c>
      <c r="G6">
        <v>1</v>
      </c>
      <c r="N6" s="17"/>
      <c r="O6" s="17"/>
      <c r="P6" s="17"/>
      <c r="Q6" s="17"/>
      <c r="R6" s="17"/>
      <c r="S6" s="60">
        <v>2502</v>
      </c>
      <c r="Y6">
        <f t="shared" si="1"/>
        <v>1</v>
      </c>
    </row>
    <row r="7" spans="1:25" ht="15.75" thickBot="1" x14ac:dyDescent="0.3">
      <c r="A7" s="10">
        <v>6</v>
      </c>
      <c r="B7">
        <v>5</v>
      </c>
      <c r="C7">
        <f t="shared" si="0"/>
        <v>2586</v>
      </c>
      <c r="D7">
        <f>LOOKUP(B7,Data!$A$2:$A$174,Data!$E$2:$E$174)</f>
        <v>2586</v>
      </c>
      <c r="E7" t="str">
        <f>LOOKUP(B7,Data!$A$2:$A$174,Data!$C$2:$C$174)</f>
        <v>SUI</v>
      </c>
      <c r="F7" t="str">
        <f>LOOKUP(B7,Data!$A$2:$A$174,Data!$D$2:$D$174)</f>
        <v>GM</v>
      </c>
      <c r="G7">
        <v>0.5</v>
      </c>
      <c r="H7" s="83" t="s">
        <v>13</v>
      </c>
      <c r="I7" s="84"/>
      <c r="J7" s="84"/>
      <c r="K7" s="84"/>
      <c r="L7" s="84"/>
      <c r="M7" s="84"/>
      <c r="N7" s="27"/>
      <c r="O7" s="27"/>
      <c r="P7" s="28"/>
      <c r="Q7" s="17"/>
      <c r="R7" s="17"/>
      <c r="S7" s="60">
        <v>2314</v>
      </c>
      <c r="Y7">
        <f t="shared" si="1"/>
        <v>1</v>
      </c>
    </row>
    <row r="8" spans="1:25" ht="15.75" thickBot="1" x14ac:dyDescent="0.3">
      <c r="A8" s="10">
        <v>7</v>
      </c>
      <c r="B8">
        <v>7</v>
      </c>
      <c r="C8">
        <f t="shared" si="0"/>
        <v>2576</v>
      </c>
      <c r="D8">
        <f>LOOKUP(B8,Data!$A$2:$A$174,Data!$E$2:$E$174)</f>
        <v>2576</v>
      </c>
      <c r="E8" t="str">
        <f>LOOKUP(B8,Data!$A$2:$A$174,Data!$C$2:$C$174)</f>
        <v>FRA</v>
      </c>
      <c r="F8" t="str">
        <f>LOOKUP(B8,Data!$A$2:$A$174,Data!$D$2:$D$174)</f>
        <v>GM</v>
      </c>
      <c r="G8">
        <v>0</v>
      </c>
      <c r="H8" s="29" t="s">
        <v>4</v>
      </c>
      <c r="I8" s="34" t="s">
        <v>5</v>
      </c>
      <c r="J8" s="30" t="s">
        <v>6</v>
      </c>
      <c r="K8" s="34" t="s">
        <v>7</v>
      </c>
      <c r="L8" s="30" t="s">
        <v>9</v>
      </c>
      <c r="M8" s="35">
        <v>4.5</v>
      </c>
      <c r="N8" s="31">
        <v>4</v>
      </c>
      <c r="O8" s="32">
        <v>3.5</v>
      </c>
      <c r="P8" s="33"/>
      <c r="Q8" s="17"/>
      <c r="R8" s="17"/>
      <c r="S8" s="60">
        <v>2448</v>
      </c>
      <c r="Y8">
        <f t="shared" si="1"/>
        <v>1</v>
      </c>
    </row>
    <row r="9" spans="1:25" ht="15.75" thickBot="1" x14ac:dyDescent="0.3">
      <c r="A9" s="10">
        <v>8</v>
      </c>
      <c r="B9">
        <v>16</v>
      </c>
      <c r="C9">
        <f t="shared" si="0"/>
        <v>2450</v>
      </c>
      <c r="D9">
        <f>LOOKUP(B9,Data!$A$2:$A$174,Data!$E$2:$E$174)</f>
        <v>2450</v>
      </c>
      <c r="E9" t="str">
        <f>LOOKUP(B9,Data!$A$2:$A$174,Data!$C$2:$C$174)</f>
        <v>HUN</v>
      </c>
      <c r="F9" t="str">
        <f>LOOKUP(B9,Data!$A$2:$A$174,Data!$D$2:$D$174)</f>
        <v>IM</v>
      </c>
      <c r="G9" t="s">
        <v>15</v>
      </c>
      <c r="H9" s="4">
        <f>9*2379.5-$C$16</f>
        <v>2625.5</v>
      </c>
      <c r="I9" s="21">
        <f>9*2433.5-$C$16</f>
        <v>3111.5</v>
      </c>
      <c r="J9" s="5">
        <f>9*2474.5-$C$16</f>
        <v>3480.5</v>
      </c>
      <c r="K9" s="69">
        <f>9*2519.5-$C$16</f>
        <v>3885.5</v>
      </c>
      <c r="L9" s="5">
        <f>9*2556.5-$C$16</f>
        <v>4218.5</v>
      </c>
      <c r="M9" s="21">
        <f>9*2599.5-$C$16</f>
        <v>4605.5</v>
      </c>
      <c r="N9" s="5">
        <f>9*2642.5-$C$16</f>
        <v>4992.5</v>
      </c>
      <c r="O9" s="21">
        <f>9*2679.5-$C$16</f>
        <v>5325.5</v>
      </c>
      <c r="P9" s="2" t="s">
        <v>0</v>
      </c>
      <c r="Q9" s="17"/>
      <c r="R9" s="17"/>
      <c r="S9" s="60">
        <v>2597</v>
      </c>
      <c r="Y9">
        <f t="shared" si="1"/>
        <v>1</v>
      </c>
    </row>
    <row r="10" spans="1:25" ht="15.75" thickBot="1" x14ac:dyDescent="0.3">
      <c r="A10" s="10">
        <v>9</v>
      </c>
      <c r="B10">
        <v>1000</v>
      </c>
      <c r="C10" t="str">
        <f t="shared" si="0"/>
        <v xml:space="preserve"> </v>
      </c>
      <c r="D10" t="str">
        <f>LOOKUP(B10,Data!$A$2:$A$174,Data!$E$2:$E$174)</f>
        <v xml:space="preserve"> </v>
      </c>
      <c r="E10" t="str">
        <f>LOOKUP(B10,Data!$A$2:$A$174,Data!$C$2:$C$174)</f>
        <v xml:space="preserve"> </v>
      </c>
      <c r="F10" t="str">
        <f>LOOKUP(B10,Data!$A$2:$A$174,Data!$D$2:$D$174)</f>
        <v xml:space="preserve"> </v>
      </c>
      <c r="G10" t="s">
        <v>15</v>
      </c>
      <c r="H10" s="4">
        <f>9*2229.5-$C$16</f>
        <v>1275.5</v>
      </c>
      <c r="I10" s="21">
        <f>9*2283.5-$C$16</f>
        <v>1761.5</v>
      </c>
      <c r="J10" s="5">
        <f>9*2324.5-$C$16</f>
        <v>2130.5</v>
      </c>
      <c r="K10" s="21">
        <f>9*2369.5-$C$16</f>
        <v>2535.5</v>
      </c>
      <c r="L10" s="5">
        <f>9*2406.5-$C$16</f>
        <v>2868.5</v>
      </c>
      <c r="M10" s="21">
        <f>9*2449.5-$C$16</f>
        <v>3255.5</v>
      </c>
      <c r="N10" s="5">
        <f>9*2492.5-$C$16</f>
        <v>3642.5</v>
      </c>
      <c r="O10" s="21">
        <f>9*2529.5-$C$16</f>
        <v>3975.5</v>
      </c>
      <c r="P10" s="2" t="s">
        <v>1</v>
      </c>
      <c r="Q10" s="17"/>
      <c r="R10" s="17"/>
      <c r="S10" s="60">
        <v>2492</v>
      </c>
      <c r="Y10">
        <f t="shared" si="1"/>
        <v>0</v>
      </c>
    </row>
    <row r="11" spans="1:25" x14ac:dyDescent="0.25">
      <c r="A11" s="10">
        <v>10</v>
      </c>
      <c r="B11">
        <v>1000</v>
      </c>
      <c r="C11" t="str">
        <f t="shared" si="0"/>
        <v xml:space="preserve"> </v>
      </c>
      <c r="D11" t="str">
        <f>LOOKUP(B11,Data!$A$2:$A$174,Data!$E$2:$E$174)</f>
        <v xml:space="preserve"> </v>
      </c>
      <c r="E11" t="str">
        <f>LOOKUP(B11,Data!$A$2:$A$174,Data!$C$2:$C$174)</f>
        <v xml:space="preserve"> </v>
      </c>
      <c r="F11" t="str">
        <f>LOOKUP(B11,Data!$A$2:$A$174,Data!$D$2:$D$174)</f>
        <v xml:space="preserve"> </v>
      </c>
      <c r="G11" t="s">
        <v>15</v>
      </c>
      <c r="H11" s="4">
        <f>9*2169.5-$C$16</f>
        <v>735.5</v>
      </c>
      <c r="I11" s="21">
        <f>9*2233.5-$C$16</f>
        <v>1311.5</v>
      </c>
      <c r="J11" s="5">
        <f>9*2274.5-$C$16</f>
        <v>1680.5</v>
      </c>
      <c r="K11" s="21">
        <f>9*2319.5-$C$16</f>
        <v>2085.5</v>
      </c>
      <c r="L11" s="5">
        <f>9*2356.5-$C$16</f>
        <v>2418.5</v>
      </c>
      <c r="M11" s="21">
        <f>9*2399.5-$C$16</f>
        <v>2805.5</v>
      </c>
      <c r="N11" s="5">
        <f>9*2442.5-$C$16</f>
        <v>3192.5</v>
      </c>
      <c r="O11" s="21">
        <f>9*2479.5-$C$16</f>
        <v>3525.5</v>
      </c>
      <c r="P11" s="2" t="s">
        <v>2</v>
      </c>
      <c r="S11">
        <f>AVERAGE(S2:S10)</f>
        <v>2378.3333333333335</v>
      </c>
      <c r="Y11">
        <f t="shared" si="1"/>
        <v>0</v>
      </c>
    </row>
    <row r="12" spans="1:25" ht="15.75" thickBot="1" x14ac:dyDescent="0.3">
      <c r="A12" s="10">
        <v>11</v>
      </c>
      <c r="B12">
        <v>1000</v>
      </c>
      <c r="C12" t="str">
        <f t="shared" si="0"/>
        <v xml:space="preserve"> </v>
      </c>
      <c r="D12" t="str">
        <f>LOOKUP(B12,Data!$A$2:$A$174,Data!$E$2:$E$174)</f>
        <v xml:space="preserve"> </v>
      </c>
      <c r="E12" t="str">
        <f>LOOKUP(B12,Data!$A$2:$A$174,Data!$C$2:$C$174)</f>
        <v xml:space="preserve"> </v>
      </c>
      <c r="F12" t="str">
        <f>LOOKUP(B12,Data!$A$2:$A$174,Data!$D$2:$D$174)</f>
        <v xml:space="preserve"> </v>
      </c>
      <c r="H12" s="6">
        <f>9*2029.5-$C$16</f>
        <v>-524.5</v>
      </c>
      <c r="I12" s="22">
        <f>9*2083.5-$C$16</f>
        <v>-38.5</v>
      </c>
      <c r="J12" s="7">
        <f>9*2124.5-$C$16</f>
        <v>330.5</v>
      </c>
      <c r="K12" s="21">
        <f>9*2169.5-$C$16</f>
        <v>735.5</v>
      </c>
      <c r="L12" s="7">
        <f>9*2206.5-$C$16</f>
        <v>1068.5</v>
      </c>
      <c r="M12" s="22">
        <f>9*2249.5-$C$16</f>
        <v>1455.5</v>
      </c>
      <c r="N12" s="7">
        <f>9*2292.5-$C$16</f>
        <v>1842.5</v>
      </c>
      <c r="O12" s="22">
        <f>9*2329.5-$C$16</f>
        <v>2175.5</v>
      </c>
      <c r="P12" s="3" t="s">
        <v>3</v>
      </c>
      <c r="Y12">
        <f t="shared" si="1"/>
        <v>0</v>
      </c>
    </row>
    <row r="13" spans="1:25" ht="15.75" thickBot="1" x14ac:dyDescent="0.3">
      <c r="A13" s="10">
        <v>12</v>
      </c>
      <c r="B13">
        <v>1000</v>
      </c>
      <c r="C13" t="str">
        <f t="shared" si="0"/>
        <v xml:space="preserve"> </v>
      </c>
      <c r="D13" t="str">
        <f>LOOKUP(B13,Data!$A$2:$A$174,Data!$E$2:$E$174)</f>
        <v xml:space="preserve"> </v>
      </c>
      <c r="E13" t="str">
        <f>LOOKUP(B13,Data!$A$2:$A$174,Data!$C$2:$C$174)</f>
        <v xml:space="preserve"> </v>
      </c>
      <c r="F13" t="str">
        <f>LOOKUP(B13,Data!$A$2:$A$174,Data!$D$2:$D$174)</f>
        <v xml:space="preserve"> </v>
      </c>
      <c r="H13" s="85" t="s">
        <v>14</v>
      </c>
      <c r="I13" s="80"/>
      <c r="J13" s="80"/>
      <c r="K13" s="80"/>
      <c r="L13" s="80"/>
      <c r="M13" s="80"/>
      <c r="N13" s="8"/>
      <c r="O13" s="8"/>
      <c r="P13" s="8"/>
      <c r="Q13" s="8"/>
      <c r="R13" s="9"/>
      <c r="Y13">
        <f t="shared" si="1"/>
        <v>0</v>
      </c>
    </row>
    <row r="14" spans="1:25" x14ac:dyDescent="0.25">
      <c r="A14" s="10">
        <v>13</v>
      </c>
      <c r="B14">
        <v>1000</v>
      </c>
      <c r="C14" t="str">
        <f t="shared" si="0"/>
        <v xml:space="preserve"> </v>
      </c>
      <c r="D14" t="str">
        <f>LOOKUP(B14,Data!$A$2:$A$174,Data!$E$2:$E$174)</f>
        <v xml:space="preserve"> </v>
      </c>
      <c r="E14" t="str">
        <f>LOOKUP(B14,Data!$A$2:$A$174,Data!$C$2:$C$174)</f>
        <v xml:space="preserve"> </v>
      </c>
      <c r="F14" t="str">
        <f>LOOKUP(B14,Data!$A$2:$A$174,Data!$D$2:$D$174)</f>
        <v xml:space="preserve"> </v>
      </c>
      <c r="H14" s="29">
        <v>8</v>
      </c>
      <c r="I14" s="34">
        <v>7.5</v>
      </c>
      <c r="J14" s="30">
        <v>7</v>
      </c>
      <c r="K14" s="34">
        <v>6.5</v>
      </c>
      <c r="L14" s="30">
        <v>6</v>
      </c>
      <c r="M14" s="34">
        <v>5.5</v>
      </c>
      <c r="N14" s="30">
        <v>5</v>
      </c>
      <c r="O14" s="34">
        <v>4.5</v>
      </c>
      <c r="P14" s="30">
        <v>4</v>
      </c>
      <c r="Q14" s="34">
        <v>3.5</v>
      </c>
      <c r="R14" s="40"/>
      <c r="Y14">
        <f t="shared" si="1"/>
        <v>0</v>
      </c>
    </row>
    <row r="15" spans="1:25" ht="15.75" thickBot="1" x14ac:dyDescent="0.3">
      <c r="A15" s="10" t="s">
        <v>19</v>
      </c>
      <c r="C15">
        <f>IF(O2&lt;O3,O3-O2,0)</f>
        <v>19</v>
      </c>
      <c r="H15" s="4">
        <f>10*2379.5-$C$16</f>
        <v>5005</v>
      </c>
      <c r="I15" s="13">
        <f>10*2406.5-$C$16</f>
        <v>5275</v>
      </c>
      <c r="J15" s="4">
        <f>10*2450.5-$C$16</f>
        <v>5715</v>
      </c>
      <c r="K15" s="13">
        <f>10*2489.5-$C$16</f>
        <v>6105</v>
      </c>
      <c r="L15" s="4">
        <f>10*2527.5-$C$16</f>
        <v>6485</v>
      </c>
      <c r="M15" s="13">
        <f>10*2563.5-$C$16</f>
        <v>6845</v>
      </c>
      <c r="N15" s="4">
        <f>10*2599.5-$C$16</f>
        <v>7205</v>
      </c>
      <c r="O15" s="13">
        <f>10*2635.5-$C$16</f>
        <v>7565</v>
      </c>
      <c r="P15" s="4">
        <f>10*2671.5-$C$16</f>
        <v>7925</v>
      </c>
      <c r="Q15" s="18">
        <f>10*2709.5-$C$16</f>
        <v>8305</v>
      </c>
      <c r="R15" s="2" t="s">
        <v>0</v>
      </c>
      <c r="Y15">
        <f>SUM(Y2:Y14)</f>
        <v>8</v>
      </c>
    </row>
    <row r="16" spans="1:25" ht="21.75" thickBot="1" x14ac:dyDescent="0.4">
      <c r="A16" s="77" t="s">
        <v>38</v>
      </c>
      <c r="B16" s="77"/>
      <c r="C16">
        <f>SUM(C2:C15)</f>
        <v>18790</v>
      </c>
      <c r="F16" s="50" t="s">
        <v>37</v>
      </c>
      <c r="G16" s="49">
        <f>SUM(G2:G14)</f>
        <v>4.5</v>
      </c>
      <c r="H16" s="4">
        <f>10*2229.5-$C$16</f>
        <v>3505</v>
      </c>
      <c r="I16" s="13">
        <f>10*2256.5-$C$16</f>
        <v>3775</v>
      </c>
      <c r="J16" s="4">
        <f>10*2300.5-$C$16</f>
        <v>4215</v>
      </c>
      <c r="K16" s="13">
        <f>10*2339.5-$C$16</f>
        <v>4605</v>
      </c>
      <c r="L16" s="4">
        <f>10*2377.5-$C$16</f>
        <v>4985</v>
      </c>
      <c r="M16" s="13">
        <f>10*2413.5-$C$16</f>
        <v>5345</v>
      </c>
      <c r="N16" s="4">
        <f>10*2449.5-$C$16</f>
        <v>5705</v>
      </c>
      <c r="O16" s="13">
        <f>10*2489.5-$C$16</f>
        <v>6105</v>
      </c>
      <c r="P16" s="4">
        <f>10*2521.5-$C$16</f>
        <v>6425</v>
      </c>
      <c r="Q16" s="13">
        <f>10*2559.5-$C$16</f>
        <v>6805</v>
      </c>
      <c r="R16" s="2" t="s">
        <v>1</v>
      </c>
    </row>
    <row r="17" spans="1:20" ht="15.75" thickBot="1" x14ac:dyDescent="0.3">
      <c r="A17" s="66" t="s">
        <v>32</v>
      </c>
      <c r="C17">
        <f>C16/Y15</f>
        <v>2348.75</v>
      </c>
      <c r="H17" s="4">
        <f>10*2179.5-$C$16</f>
        <v>3005</v>
      </c>
      <c r="I17" s="13">
        <f>10*2206.5-$C$16</f>
        <v>3275</v>
      </c>
      <c r="J17" s="4">
        <f>10*2250.5-$C$16</f>
        <v>3715</v>
      </c>
      <c r="K17" s="13">
        <f>10*2289.5-$C$16</f>
        <v>4105</v>
      </c>
      <c r="L17" s="4">
        <f>10*2327.5-$C$16</f>
        <v>4485</v>
      </c>
      <c r="M17" s="13">
        <f>10*2363.5-$C$16</f>
        <v>4845</v>
      </c>
      <c r="N17" s="4">
        <f>10*2399.5-$C$16</f>
        <v>5205</v>
      </c>
      <c r="O17" s="13">
        <f>10*2435.5-$C$16</f>
        <v>5565</v>
      </c>
      <c r="P17" s="4">
        <f>10*2471.5-$C$16</f>
        <v>5925</v>
      </c>
      <c r="Q17" s="13">
        <f>10*2509.5-$C$16</f>
        <v>6305</v>
      </c>
      <c r="R17" s="2" t="s">
        <v>2</v>
      </c>
    </row>
    <row r="18" spans="1:20" ht="15.75" thickBot="1" x14ac:dyDescent="0.3">
      <c r="A18" s="68"/>
      <c r="B18" s="57"/>
      <c r="C18" s="80" t="s">
        <v>63</v>
      </c>
      <c r="D18" s="80"/>
      <c r="E18" s="81"/>
      <c r="H18" s="6">
        <f>10*2029.5-$C$16</f>
        <v>1505</v>
      </c>
      <c r="I18" s="14">
        <f>10*2056.5-$C$16</f>
        <v>1775</v>
      </c>
      <c r="J18" s="6">
        <f>10*2100.5-$C$16</f>
        <v>2215</v>
      </c>
      <c r="K18" s="14">
        <f>10*2139.5-$C$16</f>
        <v>2605</v>
      </c>
      <c r="L18" s="6">
        <f>10*2177.5-$C$16</f>
        <v>2985</v>
      </c>
      <c r="M18" s="14">
        <f>10*2213.5-$C$16</f>
        <v>3345</v>
      </c>
      <c r="N18" s="6">
        <f>10*2249.5-$C$16</f>
        <v>3705</v>
      </c>
      <c r="O18" s="14">
        <f>10*2285.5-$C$16</f>
        <v>4065</v>
      </c>
      <c r="P18" s="6">
        <f>10*2321.5-$C$16</f>
        <v>4425</v>
      </c>
      <c r="Q18" s="14">
        <f>10*2359.5-$C$16</f>
        <v>4805</v>
      </c>
      <c r="R18" s="3" t="s">
        <v>3</v>
      </c>
    </row>
    <row r="19" spans="1:20" ht="19.5" thickBot="1" x14ac:dyDescent="0.35">
      <c r="A19" s="58" t="s">
        <v>62</v>
      </c>
      <c r="B19" s="59">
        <v>30</v>
      </c>
      <c r="C19" s="78" t="str">
        <f>LOOKUP($B19,Data!$A$2:$A$174,Data!$B$2:$B$174)</f>
        <v>Player 30</v>
      </c>
      <c r="D19" s="78"/>
      <c r="E19" s="79"/>
      <c r="H19" s="85" t="s">
        <v>16</v>
      </c>
      <c r="I19" s="80"/>
      <c r="J19" s="80"/>
      <c r="K19" s="80"/>
      <c r="L19" s="80"/>
      <c r="M19" s="80"/>
      <c r="N19" s="36"/>
      <c r="O19" s="36"/>
      <c r="P19" s="36"/>
      <c r="Q19" s="36"/>
      <c r="R19" s="36"/>
      <c r="S19" s="37"/>
      <c r="T19" s="10"/>
    </row>
    <row r="20" spans="1:20" x14ac:dyDescent="0.25">
      <c r="H20" s="29">
        <v>9</v>
      </c>
      <c r="I20" s="39">
        <v>8.5</v>
      </c>
      <c r="J20" s="47">
        <v>8</v>
      </c>
      <c r="K20" s="39">
        <v>7.5</v>
      </c>
      <c r="L20" s="46">
        <v>7</v>
      </c>
      <c r="M20" s="39">
        <v>6.5</v>
      </c>
      <c r="N20" s="46">
        <v>6</v>
      </c>
      <c r="O20" s="39">
        <v>5.5</v>
      </c>
      <c r="P20" s="46">
        <v>5</v>
      </c>
      <c r="Q20" s="39">
        <v>4.5</v>
      </c>
      <c r="R20" s="46">
        <v>4</v>
      </c>
      <c r="S20" s="9"/>
    </row>
    <row r="21" spans="1:20" x14ac:dyDescent="0.25">
      <c r="H21" s="4">
        <f>11*2379.5-$C$16</f>
        <v>7384.5</v>
      </c>
      <c r="I21" s="13">
        <f>11*2388.5-$C$16</f>
        <v>7483.5</v>
      </c>
      <c r="J21" s="4">
        <f>11*2424.5-$C$16</f>
        <v>7879.5</v>
      </c>
      <c r="K21" s="13">
        <f>11*2466.5-$C$16</f>
        <v>8341.5</v>
      </c>
      <c r="L21" s="4">
        <f>11*2497.5-$C$16</f>
        <v>8682.5</v>
      </c>
      <c r="M21" s="13">
        <f>11*2534.5-$C$16</f>
        <v>9089.5</v>
      </c>
      <c r="N21" s="4">
        <f>11*2563.5-$C$16</f>
        <v>9408.5</v>
      </c>
      <c r="O21" s="13">
        <f>11*2599.5-$C$16</f>
        <v>9804.5</v>
      </c>
      <c r="P21" s="4">
        <f>11*2635.5-$C$16</f>
        <v>10200.5</v>
      </c>
      <c r="Q21" s="13">
        <f>11*2664.5-$C$16</f>
        <v>10519.5</v>
      </c>
      <c r="R21" s="4">
        <f>11*2701.5-$C$16</f>
        <v>10926.5</v>
      </c>
      <c r="S21" s="2" t="s">
        <v>0</v>
      </c>
    </row>
    <row r="22" spans="1:20" x14ac:dyDescent="0.25">
      <c r="H22" s="4">
        <f>11*2229.5-$C$16</f>
        <v>5734.5</v>
      </c>
      <c r="I22" s="13">
        <f>11*2238.5-$C$16</f>
        <v>5833.5</v>
      </c>
      <c r="J22" s="4">
        <f>11*2274.5-$C$16</f>
        <v>6229.5</v>
      </c>
      <c r="K22" s="13">
        <f>11*2316.5-$C$16</f>
        <v>6691.5</v>
      </c>
      <c r="L22" s="4">
        <f>11*2347.5-$C$16</f>
        <v>7032.5</v>
      </c>
      <c r="M22" s="13">
        <f>11*2384.5-$C$16</f>
        <v>7439.5</v>
      </c>
      <c r="N22" s="4">
        <f>11*2413.5-$C$16</f>
        <v>7758.5</v>
      </c>
      <c r="O22" s="13">
        <f>11*2449.5-$C$16</f>
        <v>8154.5</v>
      </c>
      <c r="P22" s="4">
        <f>11*2485.5-$C$16</f>
        <v>8550.5</v>
      </c>
      <c r="Q22" s="13">
        <f>11*2514.5-$C$16</f>
        <v>8869.5</v>
      </c>
      <c r="R22" s="4">
        <f>11*2551.5-$C$16</f>
        <v>9276.5</v>
      </c>
      <c r="S22" s="2" t="s">
        <v>1</v>
      </c>
    </row>
    <row r="23" spans="1:20" x14ac:dyDescent="0.25">
      <c r="H23" s="4">
        <f>11*2179.5-$C$16</f>
        <v>5184.5</v>
      </c>
      <c r="I23" s="13">
        <f>11*2188.5-$C$16</f>
        <v>5283.5</v>
      </c>
      <c r="J23" s="4">
        <f>11*2224.5-$C$16</f>
        <v>5679.5</v>
      </c>
      <c r="K23" s="13">
        <f>11*2266.5-$C$16</f>
        <v>6141.5</v>
      </c>
      <c r="L23" s="4">
        <f>11*2297.5-$C$16</f>
        <v>6482.5</v>
      </c>
      <c r="M23" s="13">
        <f>11*2334.5-$C$16</f>
        <v>6889.5</v>
      </c>
      <c r="N23" s="4">
        <f>11*2363.5-$C$16</f>
        <v>7208.5</v>
      </c>
      <c r="O23" s="13">
        <f>11*2399.5-$C$16</f>
        <v>7604.5</v>
      </c>
      <c r="P23" s="4">
        <f>11*2435.5-$C$16</f>
        <v>8000.5</v>
      </c>
      <c r="Q23" s="13">
        <f>11*2464.5-$C$16</f>
        <v>8319.5</v>
      </c>
      <c r="R23" s="4">
        <f>11*2501.5-$C$16</f>
        <v>8726.5</v>
      </c>
      <c r="S23" s="2" t="s">
        <v>2</v>
      </c>
    </row>
    <row r="24" spans="1:20" ht="15.75" thickBot="1" x14ac:dyDescent="0.3">
      <c r="H24" s="6">
        <f>11*2029.5-$C$16</f>
        <v>3534.5</v>
      </c>
      <c r="I24" s="14">
        <f>11*2038.5-$C$16</f>
        <v>3633.5</v>
      </c>
      <c r="J24" s="6">
        <f>11*2074.5-$C$16</f>
        <v>4029.5</v>
      </c>
      <c r="K24" s="14">
        <f>11*2116.5-$C$16</f>
        <v>4491.5</v>
      </c>
      <c r="L24" s="6">
        <f>11*2147.5-$C$16</f>
        <v>4832.5</v>
      </c>
      <c r="M24" s="14">
        <f>11*2184.5-$C$16</f>
        <v>5239.5</v>
      </c>
      <c r="N24" s="6">
        <f>11*2213.5-$C$16</f>
        <v>5558.5</v>
      </c>
      <c r="O24" s="14">
        <f>11*2249.5-$C$16</f>
        <v>5954.5</v>
      </c>
      <c r="P24" s="6">
        <f>11*2285.5-$C$16</f>
        <v>6350.5</v>
      </c>
      <c r="Q24" s="14">
        <f>11*2314.5-$C$16</f>
        <v>6669.5</v>
      </c>
      <c r="R24" s="6">
        <f>11*2351.5-$C$16</f>
        <v>7076.5</v>
      </c>
      <c r="S24" s="3" t="s">
        <v>3</v>
      </c>
    </row>
    <row r="25" spans="1:20" x14ac:dyDescent="0.25">
      <c r="H25" s="15"/>
      <c r="I25" s="16"/>
      <c r="J25" s="16"/>
      <c r="K25" s="16"/>
      <c r="L25" s="16"/>
      <c r="M25" s="75"/>
      <c r="N25" s="75"/>
      <c r="O25" s="75"/>
      <c r="P25" s="75"/>
      <c r="Q25" s="76"/>
    </row>
    <row r="26" spans="1:20" x14ac:dyDescent="0.25">
      <c r="H26" s="17"/>
      <c r="I26" s="17"/>
      <c r="J26" s="17"/>
      <c r="K26" s="17"/>
      <c r="L26" s="17"/>
    </row>
    <row r="27" spans="1:20" x14ac:dyDescent="0.25">
      <c r="H27" s="17"/>
      <c r="I27" s="17"/>
      <c r="J27" s="17"/>
      <c r="K27" s="17"/>
      <c r="L27" s="17"/>
    </row>
    <row r="28" spans="1:20" x14ac:dyDescent="0.25">
      <c r="H28" s="17"/>
      <c r="I28" s="17"/>
      <c r="J28" s="17"/>
      <c r="K28" s="17"/>
      <c r="L28" s="17"/>
    </row>
    <row r="29" spans="1:20" x14ac:dyDescent="0.25">
      <c r="H29" s="17"/>
      <c r="I29" s="17"/>
      <c r="J29" s="17"/>
      <c r="K29" s="17"/>
      <c r="L29" s="17"/>
    </row>
    <row r="30" spans="1:20" x14ac:dyDescent="0.25">
      <c r="H30" s="17"/>
      <c r="I30" s="17"/>
      <c r="J30" s="17"/>
      <c r="K30" s="17"/>
      <c r="L30" s="17"/>
    </row>
    <row r="31" spans="1:20" x14ac:dyDescent="0.25">
      <c r="H31" s="17"/>
      <c r="I31" s="17"/>
      <c r="J31" s="17"/>
      <c r="K31" s="17"/>
      <c r="L31" s="17"/>
    </row>
    <row r="32" spans="1:20" x14ac:dyDescent="0.25">
      <c r="H32" s="17"/>
      <c r="I32" s="17"/>
      <c r="J32" s="17"/>
      <c r="K32" s="17"/>
      <c r="L32" s="17"/>
    </row>
    <row r="33" spans="8:12" x14ac:dyDescent="0.25">
      <c r="H33" s="17"/>
      <c r="I33" s="17"/>
      <c r="J33" s="17"/>
      <c r="K33" s="17"/>
      <c r="L33" s="17"/>
    </row>
  </sheetData>
  <mergeCells count="8">
    <mergeCell ref="M25:Q25"/>
    <mergeCell ref="I1:J1"/>
    <mergeCell ref="H7:M7"/>
    <mergeCell ref="H13:M13"/>
    <mergeCell ref="A16:B16"/>
    <mergeCell ref="C18:E18"/>
    <mergeCell ref="C19:E19"/>
    <mergeCell ref="H19:M19"/>
  </mergeCells>
  <dataValidations count="1">
    <dataValidation type="list" allowBlank="1" showInputMessage="1" showErrorMessage="1" sqref="M1" xr:uid="{00000000-0002-0000-0600-000000000000}">
      <formula1>Select_Title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33"/>
  <sheetViews>
    <sheetView zoomScale="85" zoomScaleNormal="85" workbookViewId="0">
      <selection activeCell="B1" sqref="B1"/>
    </sheetView>
  </sheetViews>
  <sheetFormatPr defaultRowHeight="15" x14ac:dyDescent="0.25"/>
  <cols>
    <col min="1" max="1" width="3.85546875" style="10" customWidth="1"/>
    <col min="2" max="2" width="5" bestFit="1" customWidth="1"/>
    <col min="8" max="13" width="7.7109375" bestFit="1" customWidth="1"/>
    <col min="15" max="18" width="7" bestFit="1" customWidth="1"/>
  </cols>
  <sheetData>
    <row r="1" spans="1:25" ht="30.75" thickBot="1" x14ac:dyDescent="0.3">
      <c r="A1" s="62" t="s">
        <v>36</v>
      </c>
      <c r="B1" s="43" t="s">
        <v>18</v>
      </c>
      <c r="C1" s="43" t="s">
        <v>10</v>
      </c>
      <c r="D1" s="43" t="s">
        <v>31</v>
      </c>
      <c r="E1" s="43" t="s">
        <v>17</v>
      </c>
      <c r="F1" s="43" t="s">
        <v>34</v>
      </c>
      <c r="G1" s="43" t="s">
        <v>11</v>
      </c>
      <c r="H1" s="41"/>
      <c r="I1" s="82" t="s">
        <v>8</v>
      </c>
      <c r="J1" s="82"/>
      <c r="K1" s="43"/>
      <c r="L1" s="44" t="s">
        <v>35</v>
      </c>
      <c r="M1" s="43" t="s">
        <v>1</v>
      </c>
    </row>
    <row r="2" spans="1:25" ht="21" customHeight="1" thickBot="1" x14ac:dyDescent="0.3">
      <c r="A2" s="10">
        <v>1</v>
      </c>
      <c r="B2">
        <v>75</v>
      </c>
      <c r="C2">
        <f>IF(D2=0,1000,D2)</f>
        <v>2000</v>
      </c>
      <c r="D2">
        <f>LOOKUP(B2,Data!$A$2:$A$174,Data!$E$2:$E$174)</f>
        <v>2000</v>
      </c>
      <c r="E2" t="str">
        <f>LOOKUP(B2,Data!$A$2:$A$174,Data!$C$2:$C$174)</f>
        <v>GER</v>
      </c>
      <c r="F2">
        <f>LOOKUP(B2,Data!$A$2:$A$174,Data!$D$2:$D$174)</f>
        <v>0</v>
      </c>
      <c r="G2">
        <v>1</v>
      </c>
      <c r="H2" s="42"/>
      <c r="I2" s="1" t="s">
        <v>0</v>
      </c>
      <c r="J2" s="1">
        <v>2200</v>
      </c>
      <c r="N2" s="23" t="s">
        <v>30</v>
      </c>
      <c r="O2" s="24">
        <f>MIN(C2:C14)</f>
        <v>1874</v>
      </c>
      <c r="P2" s="16"/>
      <c r="Q2" s="16"/>
      <c r="R2" s="16"/>
      <c r="S2" s="60">
        <v>2238</v>
      </c>
      <c r="Y2">
        <f>IF(C2=" ",0,1)</f>
        <v>1</v>
      </c>
    </row>
    <row r="3" spans="1:25" ht="21.75" thickBot="1" x14ac:dyDescent="0.3">
      <c r="A3" s="10">
        <v>2</v>
      </c>
      <c r="B3">
        <v>13</v>
      </c>
      <c r="C3">
        <f t="shared" ref="C3:C14" si="0">IF(D3=0,1000,D3)</f>
        <v>2489</v>
      </c>
      <c r="D3">
        <f>LOOKUP(B3,Data!$A$2:$A$174,Data!$E$2:$E$174)</f>
        <v>2489</v>
      </c>
      <c r="E3" t="str">
        <f>LOOKUP(B3,Data!$A$2:$A$174,Data!$C$2:$C$174)</f>
        <v>ENG</v>
      </c>
      <c r="F3" t="str">
        <f>LOOKUP(B3,Data!$A$2:$A$174,Data!$D$2:$D$174)</f>
        <v>GM</v>
      </c>
      <c r="G3">
        <v>0</v>
      </c>
      <c r="I3" s="1" t="s">
        <v>1</v>
      </c>
      <c r="J3" s="1">
        <v>2050</v>
      </c>
      <c r="N3" s="25" t="s">
        <v>33</v>
      </c>
      <c r="O3" s="26">
        <f>IF(M1="GM",J2,IF(M1="IM",J3,IF(M1="WGM",J4,J5)))</f>
        <v>2050</v>
      </c>
      <c r="P3" s="17"/>
      <c r="Q3" s="17"/>
      <c r="R3" s="17"/>
      <c r="S3" s="60">
        <v>2462</v>
      </c>
      <c r="Y3">
        <f t="shared" ref="Y3:Y14" si="1">IF(C3=" ",0,1)</f>
        <v>1</v>
      </c>
    </row>
    <row r="4" spans="1:25" ht="15.75" thickBot="1" x14ac:dyDescent="0.3">
      <c r="A4" s="10">
        <v>3</v>
      </c>
      <c r="B4">
        <v>46</v>
      </c>
      <c r="C4">
        <f t="shared" si="0"/>
        <v>2181</v>
      </c>
      <c r="D4">
        <f>LOOKUP(B4,Data!$A$2:$A$174,Data!$E$2:$E$174)</f>
        <v>2181</v>
      </c>
      <c r="E4" t="str">
        <f>LOOKUP(B4,Data!$A$2:$A$174,Data!$C$2:$C$174)</f>
        <v>FRA</v>
      </c>
      <c r="F4" t="str">
        <f>LOOKUP(B4,Data!$A$2:$A$174,Data!$D$2:$D$174)</f>
        <v>WIM</v>
      </c>
      <c r="G4">
        <v>1</v>
      </c>
      <c r="I4" s="1" t="s">
        <v>2</v>
      </c>
      <c r="J4" s="1">
        <v>2000</v>
      </c>
      <c r="N4" s="17"/>
      <c r="O4" s="17"/>
      <c r="P4" s="17"/>
      <c r="Q4" s="17"/>
      <c r="R4" s="17"/>
      <c r="S4" s="60">
        <v>2552</v>
      </c>
      <c r="Y4">
        <f t="shared" si="1"/>
        <v>1</v>
      </c>
    </row>
    <row r="5" spans="1:25" ht="15.75" thickBot="1" x14ac:dyDescent="0.3">
      <c r="A5" s="10">
        <v>4</v>
      </c>
      <c r="B5">
        <v>90</v>
      </c>
      <c r="C5">
        <f t="shared" si="0"/>
        <v>1874</v>
      </c>
      <c r="D5">
        <f>LOOKUP(B5,Data!$A$2:$A$174,Data!$E$2:$E$174)</f>
        <v>1874</v>
      </c>
      <c r="E5" t="str">
        <f>LOOKUP(B5,Data!$A$2:$A$174,Data!$C$2:$C$174)</f>
        <v>ENG</v>
      </c>
      <c r="F5">
        <f>LOOKUP(B5,Data!$A$2:$A$174,Data!$D$2:$D$174)</f>
        <v>0</v>
      </c>
      <c r="G5">
        <v>1</v>
      </c>
      <c r="I5" s="1" t="s">
        <v>3</v>
      </c>
      <c r="J5" s="1">
        <v>1850</v>
      </c>
      <c r="N5" s="17"/>
      <c r="O5" s="17"/>
      <c r="P5" s="17"/>
      <c r="Q5" s="17"/>
      <c r="R5" s="17"/>
      <c r="S5" s="60">
        <v>1800</v>
      </c>
      <c r="Y5">
        <f t="shared" si="1"/>
        <v>1</v>
      </c>
    </row>
    <row r="6" spans="1:25" ht="15.75" thickBot="1" x14ac:dyDescent="0.3">
      <c r="A6" s="10">
        <v>5</v>
      </c>
      <c r="B6">
        <v>18</v>
      </c>
      <c r="C6">
        <f t="shared" si="0"/>
        <v>2428</v>
      </c>
      <c r="D6">
        <f>LOOKUP(B6,Data!$A$2:$A$174,Data!$E$2:$E$174)</f>
        <v>2428</v>
      </c>
      <c r="E6" t="str">
        <f>LOOKUP(B6,Data!$A$2:$A$174,Data!$C$2:$C$174)</f>
        <v>HUN</v>
      </c>
      <c r="F6" t="str">
        <f>LOOKUP(B6,Data!$A$2:$A$174,Data!$D$2:$D$174)</f>
        <v>IM</v>
      </c>
      <c r="G6">
        <v>0.5</v>
      </c>
      <c r="N6" s="17"/>
      <c r="O6" s="17"/>
      <c r="P6" s="17"/>
      <c r="Q6" s="17"/>
      <c r="R6" s="17"/>
      <c r="S6" s="60">
        <v>2502</v>
      </c>
      <c r="Y6">
        <f t="shared" si="1"/>
        <v>1</v>
      </c>
    </row>
    <row r="7" spans="1:25" ht="15.75" thickBot="1" x14ac:dyDescent="0.3">
      <c r="A7" s="10">
        <v>6</v>
      </c>
      <c r="B7">
        <v>36</v>
      </c>
      <c r="C7">
        <f t="shared" si="0"/>
        <v>2237</v>
      </c>
      <c r="D7">
        <f>LOOKUP(B7,Data!$A$2:$A$174,Data!$E$2:$E$174)</f>
        <v>2237</v>
      </c>
      <c r="E7" t="str">
        <f>LOOKUP(B7,Data!$A$2:$A$174,Data!$C$2:$C$174)</f>
        <v>ENG</v>
      </c>
      <c r="F7" t="str">
        <f>LOOKUP(B7,Data!$A$2:$A$174,Data!$D$2:$D$174)</f>
        <v>FM</v>
      </c>
      <c r="G7">
        <v>1</v>
      </c>
      <c r="H7" s="83" t="s">
        <v>13</v>
      </c>
      <c r="I7" s="84"/>
      <c r="J7" s="84"/>
      <c r="K7" s="84"/>
      <c r="L7" s="84"/>
      <c r="M7" s="84"/>
      <c r="N7" s="27"/>
      <c r="O7" s="27"/>
      <c r="P7" s="28"/>
      <c r="Q7" s="17"/>
      <c r="R7" s="17"/>
      <c r="S7" s="60">
        <v>2314</v>
      </c>
      <c r="Y7">
        <f t="shared" si="1"/>
        <v>1</v>
      </c>
    </row>
    <row r="8" spans="1:25" ht="15.75" thickBot="1" x14ac:dyDescent="0.3">
      <c r="A8" s="10">
        <v>7</v>
      </c>
      <c r="B8">
        <v>8</v>
      </c>
      <c r="C8">
        <f t="shared" si="0"/>
        <v>2566</v>
      </c>
      <c r="D8">
        <f>LOOKUP(B8,Data!$A$2:$A$174,Data!$E$2:$E$174)</f>
        <v>2566</v>
      </c>
      <c r="E8" t="str">
        <f>LOOKUP(B8,Data!$A$2:$A$174,Data!$C$2:$C$174)</f>
        <v>IND</v>
      </c>
      <c r="F8" t="str">
        <f>LOOKUP(B8,Data!$A$2:$A$174,Data!$D$2:$D$174)</f>
        <v>GM</v>
      </c>
      <c r="G8">
        <v>0.5</v>
      </c>
      <c r="H8" s="29" t="s">
        <v>4</v>
      </c>
      <c r="I8" s="34" t="s">
        <v>5</v>
      </c>
      <c r="J8" s="30" t="s">
        <v>6</v>
      </c>
      <c r="K8" s="34" t="s">
        <v>7</v>
      </c>
      <c r="L8" s="30" t="s">
        <v>9</v>
      </c>
      <c r="M8" s="35">
        <v>4.5</v>
      </c>
      <c r="N8" s="31">
        <v>4</v>
      </c>
      <c r="O8" s="32">
        <v>3.5</v>
      </c>
      <c r="P8" s="33"/>
      <c r="Q8" s="17"/>
      <c r="R8" s="17"/>
      <c r="S8" s="60">
        <v>2448</v>
      </c>
      <c r="Y8">
        <f t="shared" si="1"/>
        <v>1</v>
      </c>
    </row>
    <row r="9" spans="1:25" ht="15.75" thickBot="1" x14ac:dyDescent="0.3">
      <c r="A9" s="10">
        <v>8</v>
      </c>
      <c r="B9">
        <v>12</v>
      </c>
      <c r="C9">
        <f t="shared" si="0"/>
        <v>2499</v>
      </c>
      <c r="D9">
        <f>LOOKUP(B9,Data!$A$2:$A$174,Data!$E$2:$E$174)</f>
        <v>2499</v>
      </c>
      <c r="E9" t="str">
        <f>LOOKUP(B9,Data!$A$2:$A$174,Data!$C$2:$C$174)</f>
        <v>ENG</v>
      </c>
      <c r="F9" t="str">
        <f>LOOKUP(B9,Data!$A$2:$A$174,Data!$D$2:$D$174)</f>
        <v>GM</v>
      </c>
      <c r="G9" t="s">
        <v>15</v>
      </c>
      <c r="H9" s="4">
        <f>9*2379.5-$C$16</f>
        <v>2965.5</v>
      </c>
      <c r="I9" s="21">
        <f>9*2433.5-$C$16</f>
        <v>3451.5</v>
      </c>
      <c r="J9" s="5">
        <f>9*2474.5-$C$16</f>
        <v>3820.5</v>
      </c>
      <c r="K9" s="69">
        <f>9*2519.5-$C$16</f>
        <v>4225.5</v>
      </c>
      <c r="L9" s="5">
        <f>9*2556.5-$C$16</f>
        <v>4558.5</v>
      </c>
      <c r="M9" s="21">
        <f>9*2599.5-$C$16</f>
        <v>4945.5</v>
      </c>
      <c r="N9" s="5">
        <f>9*2642.5-$C$16</f>
        <v>5332.5</v>
      </c>
      <c r="O9" s="21">
        <f>9*2679.5-$C$16</f>
        <v>5665.5</v>
      </c>
      <c r="P9" s="2" t="s">
        <v>0</v>
      </c>
      <c r="Q9" s="17"/>
      <c r="R9" s="17"/>
      <c r="S9" s="60">
        <v>2597</v>
      </c>
      <c r="Y9">
        <f t="shared" si="1"/>
        <v>1</v>
      </c>
    </row>
    <row r="10" spans="1:25" ht="15.75" thickBot="1" x14ac:dyDescent="0.3">
      <c r="A10" s="10">
        <v>9</v>
      </c>
      <c r="B10">
        <v>1000</v>
      </c>
      <c r="C10" t="str">
        <f t="shared" si="0"/>
        <v xml:space="preserve"> </v>
      </c>
      <c r="D10" t="str">
        <f>LOOKUP(B10,Data!$A$2:$A$174,Data!$E$2:$E$174)</f>
        <v xml:space="preserve"> </v>
      </c>
      <c r="E10" t="str">
        <f>LOOKUP(B10,Data!$A$2:$A$174,Data!$C$2:$C$174)</f>
        <v xml:space="preserve"> </v>
      </c>
      <c r="F10" t="str">
        <f>LOOKUP(B10,Data!$A$2:$A$174,Data!$D$2:$D$174)</f>
        <v xml:space="preserve"> </v>
      </c>
      <c r="G10" t="s">
        <v>15</v>
      </c>
      <c r="H10" s="4">
        <f>9*2229.5-$C$16</f>
        <v>1615.5</v>
      </c>
      <c r="I10" s="21">
        <f>9*2283.5-$C$16</f>
        <v>2101.5</v>
      </c>
      <c r="J10" s="5">
        <f>9*2324.5-$C$16</f>
        <v>2470.5</v>
      </c>
      <c r="K10" s="21">
        <f>9*2369.5-$C$16</f>
        <v>2875.5</v>
      </c>
      <c r="L10" s="5">
        <f>9*2406.5-$C$16</f>
        <v>3208.5</v>
      </c>
      <c r="M10" s="21">
        <f>9*2449.5-$C$16</f>
        <v>3595.5</v>
      </c>
      <c r="N10" s="5">
        <f>9*2492.5-$C$16</f>
        <v>3982.5</v>
      </c>
      <c r="O10" s="21">
        <f>9*2529.5-$C$16</f>
        <v>4315.5</v>
      </c>
      <c r="P10" s="2" t="s">
        <v>1</v>
      </c>
      <c r="Q10" s="17"/>
      <c r="R10" s="17"/>
      <c r="S10" s="60">
        <v>2492</v>
      </c>
      <c r="Y10">
        <f t="shared" si="1"/>
        <v>0</v>
      </c>
    </row>
    <row r="11" spans="1:25" x14ac:dyDescent="0.25">
      <c r="A11" s="10">
        <v>10</v>
      </c>
      <c r="B11">
        <v>1000</v>
      </c>
      <c r="C11" t="str">
        <f t="shared" si="0"/>
        <v xml:space="preserve"> </v>
      </c>
      <c r="D11" t="str">
        <f>LOOKUP(B11,Data!$A$2:$A$174,Data!$E$2:$E$174)</f>
        <v xml:space="preserve"> </v>
      </c>
      <c r="E11" t="str">
        <f>LOOKUP(B11,Data!$A$2:$A$174,Data!$C$2:$C$174)</f>
        <v xml:space="preserve"> </v>
      </c>
      <c r="F11" t="str">
        <f>LOOKUP(B11,Data!$A$2:$A$174,Data!$D$2:$D$174)</f>
        <v xml:space="preserve"> </v>
      </c>
      <c r="G11" t="s">
        <v>64</v>
      </c>
      <c r="H11" s="4">
        <f>9*2169.5-$C$16</f>
        <v>1075.5</v>
      </c>
      <c r="I11" s="21">
        <f>9*2233.5-$C$16</f>
        <v>1651.5</v>
      </c>
      <c r="J11" s="5">
        <f>9*2274.5-$C$16</f>
        <v>2020.5</v>
      </c>
      <c r="K11" s="21">
        <f>9*2319.5-$C$16</f>
        <v>2425.5</v>
      </c>
      <c r="L11" s="5">
        <f>9*2356.5-$C$16</f>
        <v>2758.5</v>
      </c>
      <c r="M11" s="21">
        <f>9*2399.5-$C$16</f>
        <v>3145.5</v>
      </c>
      <c r="N11" s="5">
        <f>9*2442.5-$C$16</f>
        <v>3532.5</v>
      </c>
      <c r="O11" s="21">
        <f>9*2479.5-$C$16</f>
        <v>3865.5</v>
      </c>
      <c r="P11" s="2" t="s">
        <v>2</v>
      </c>
      <c r="S11">
        <f>AVERAGE(S2:S10)</f>
        <v>2378.3333333333335</v>
      </c>
      <c r="Y11">
        <f t="shared" si="1"/>
        <v>0</v>
      </c>
    </row>
    <row r="12" spans="1:25" ht="15.75" thickBot="1" x14ac:dyDescent="0.3">
      <c r="A12" s="10">
        <v>11</v>
      </c>
      <c r="B12">
        <v>1000</v>
      </c>
      <c r="C12" t="str">
        <f t="shared" si="0"/>
        <v xml:space="preserve"> </v>
      </c>
      <c r="D12" t="str">
        <f>LOOKUP(B12,Data!$A$2:$A$174,Data!$E$2:$E$174)</f>
        <v xml:space="preserve"> </v>
      </c>
      <c r="E12" t="str">
        <f>LOOKUP(B12,Data!$A$2:$A$174,Data!$C$2:$C$174)</f>
        <v xml:space="preserve"> </v>
      </c>
      <c r="F12" t="str">
        <f>LOOKUP(B12,Data!$A$2:$A$174,Data!$D$2:$D$174)</f>
        <v xml:space="preserve"> </v>
      </c>
      <c r="H12" s="6">
        <f>9*2029.5-$C$16</f>
        <v>-184.5</v>
      </c>
      <c r="I12" s="22">
        <f>9*2083.5-$C$16</f>
        <v>301.5</v>
      </c>
      <c r="J12" s="7">
        <f>9*2124.5-$C$16</f>
        <v>670.5</v>
      </c>
      <c r="K12" s="21">
        <f>9*2169.5-$C$16</f>
        <v>1075.5</v>
      </c>
      <c r="L12" s="7">
        <f>9*2206.5-$C$16</f>
        <v>1408.5</v>
      </c>
      <c r="M12" s="22">
        <f>9*2249.5-$C$16</f>
        <v>1795.5</v>
      </c>
      <c r="N12" s="7">
        <f>9*2292.5-$C$16</f>
        <v>2182.5</v>
      </c>
      <c r="O12" s="22">
        <f>9*2329.5-$C$16</f>
        <v>2515.5</v>
      </c>
      <c r="P12" s="3" t="s">
        <v>3</v>
      </c>
      <c r="Y12">
        <f t="shared" si="1"/>
        <v>0</v>
      </c>
    </row>
    <row r="13" spans="1:25" ht="15.75" thickBot="1" x14ac:dyDescent="0.3">
      <c r="A13" s="10">
        <v>12</v>
      </c>
      <c r="B13">
        <v>1000</v>
      </c>
      <c r="C13" t="str">
        <f t="shared" si="0"/>
        <v xml:space="preserve"> </v>
      </c>
      <c r="D13" t="str">
        <f>LOOKUP(B13,Data!$A$2:$A$174,Data!$E$2:$E$174)</f>
        <v xml:space="preserve"> </v>
      </c>
      <c r="E13" t="str">
        <f>LOOKUP(B13,Data!$A$2:$A$174,Data!$C$2:$C$174)</f>
        <v xml:space="preserve"> </v>
      </c>
      <c r="F13" t="str">
        <f>LOOKUP(B13,Data!$A$2:$A$174,Data!$D$2:$D$174)</f>
        <v xml:space="preserve"> </v>
      </c>
      <c r="H13" s="85" t="s">
        <v>14</v>
      </c>
      <c r="I13" s="80"/>
      <c r="J13" s="80"/>
      <c r="K13" s="80"/>
      <c r="L13" s="80"/>
      <c r="M13" s="80"/>
      <c r="N13" s="8"/>
      <c r="O13" s="8"/>
      <c r="P13" s="8"/>
      <c r="Q13" s="8"/>
      <c r="R13" s="9"/>
      <c r="Y13">
        <f t="shared" si="1"/>
        <v>0</v>
      </c>
    </row>
    <row r="14" spans="1:25" x14ac:dyDescent="0.25">
      <c r="A14" s="10">
        <v>13</v>
      </c>
      <c r="B14">
        <v>1000</v>
      </c>
      <c r="C14" t="str">
        <f t="shared" si="0"/>
        <v xml:space="preserve"> </v>
      </c>
      <c r="D14" t="str">
        <f>LOOKUP(B14,Data!$A$2:$A$174,Data!$E$2:$E$174)</f>
        <v xml:space="preserve"> </v>
      </c>
      <c r="E14" t="str">
        <f>LOOKUP(B14,Data!$A$2:$A$174,Data!$C$2:$C$174)</f>
        <v xml:space="preserve"> </v>
      </c>
      <c r="F14" t="str">
        <f>LOOKUP(B14,Data!$A$2:$A$174,Data!$D$2:$D$174)</f>
        <v xml:space="preserve"> </v>
      </c>
      <c r="H14" s="29">
        <v>8</v>
      </c>
      <c r="I14" s="34">
        <v>7.5</v>
      </c>
      <c r="J14" s="30">
        <v>7</v>
      </c>
      <c r="K14" s="34">
        <v>6.5</v>
      </c>
      <c r="L14" s="30">
        <v>6</v>
      </c>
      <c r="M14" s="34">
        <v>5.5</v>
      </c>
      <c r="N14" s="30">
        <v>5</v>
      </c>
      <c r="O14" s="34">
        <v>4.5</v>
      </c>
      <c r="P14" s="30">
        <v>4</v>
      </c>
      <c r="Q14" s="34">
        <v>3.5</v>
      </c>
      <c r="R14" s="40"/>
      <c r="Y14">
        <f t="shared" si="1"/>
        <v>0</v>
      </c>
    </row>
    <row r="15" spans="1:25" ht="15.75" thickBot="1" x14ac:dyDescent="0.3">
      <c r="A15" s="10" t="s">
        <v>19</v>
      </c>
      <c r="C15">
        <f>IF(O2&lt;O3,O3-O2,0)</f>
        <v>176</v>
      </c>
      <c r="H15" s="4">
        <f>10*2379.5-$C$16</f>
        <v>5345</v>
      </c>
      <c r="I15" s="13">
        <f>10*2406.5-$C$16</f>
        <v>5615</v>
      </c>
      <c r="J15" s="4">
        <f>10*2450.5-$C$16</f>
        <v>6055</v>
      </c>
      <c r="K15" s="13">
        <f>10*2489.5-$C$16</f>
        <v>6445</v>
      </c>
      <c r="L15" s="4">
        <f>10*2527.5-$C$16</f>
        <v>6825</v>
      </c>
      <c r="M15" s="13">
        <f>10*2563.5-$C$16</f>
        <v>7185</v>
      </c>
      <c r="N15" s="4">
        <f>10*2599.5-$C$16</f>
        <v>7545</v>
      </c>
      <c r="O15" s="13">
        <f>10*2635.5-$C$16</f>
        <v>7905</v>
      </c>
      <c r="P15" s="4">
        <f>10*2671.5-$C$16</f>
        <v>8265</v>
      </c>
      <c r="Q15" s="18">
        <f>10*2709.5-$C$16</f>
        <v>8645</v>
      </c>
      <c r="R15" s="2" t="s">
        <v>0</v>
      </c>
      <c r="Y15">
        <f>SUM(Y2:Y14)</f>
        <v>8</v>
      </c>
    </row>
    <row r="16" spans="1:25" ht="21.75" thickBot="1" x14ac:dyDescent="0.4">
      <c r="A16" s="77" t="s">
        <v>38</v>
      </c>
      <c r="B16" s="77"/>
      <c r="C16">
        <f>SUM(C2:C15)</f>
        <v>18450</v>
      </c>
      <c r="F16" s="50" t="s">
        <v>37</v>
      </c>
      <c r="G16" s="49">
        <f>SUM(G2:G14)</f>
        <v>5</v>
      </c>
      <c r="H16" s="4">
        <f>10*2229.5-$C$16</f>
        <v>3845</v>
      </c>
      <c r="I16" s="13">
        <f>10*2256.5-$C$16</f>
        <v>4115</v>
      </c>
      <c r="J16" s="4">
        <f>10*2300.5-$C$16</f>
        <v>4555</v>
      </c>
      <c r="K16" s="13">
        <f>10*2339.5-$C$16</f>
        <v>4945</v>
      </c>
      <c r="L16" s="4">
        <f>10*2377.5-$C$16</f>
        <v>5325</v>
      </c>
      <c r="M16" s="13">
        <f>10*2413.5-$C$16</f>
        <v>5685</v>
      </c>
      <c r="N16" s="4">
        <f>10*2449.5-$C$16</f>
        <v>6045</v>
      </c>
      <c r="O16" s="13">
        <f>10*2489.5-$C$16</f>
        <v>6445</v>
      </c>
      <c r="P16" s="4">
        <f>10*2521.5-$C$16</f>
        <v>6765</v>
      </c>
      <c r="Q16" s="13">
        <f>10*2559.5-$C$16</f>
        <v>7145</v>
      </c>
      <c r="R16" s="2" t="s">
        <v>1</v>
      </c>
    </row>
    <row r="17" spans="1:20" ht="15.75" thickBot="1" x14ac:dyDescent="0.3">
      <c r="A17" s="61" t="s">
        <v>32</v>
      </c>
      <c r="C17">
        <f>C16/Y15</f>
        <v>2306.25</v>
      </c>
      <c r="H17" s="4">
        <f>10*2179.5-$C$16</f>
        <v>3345</v>
      </c>
      <c r="I17" s="13">
        <f>10*2206.5-$C$16</f>
        <v>3615</v>
      </c>
      <c r="J17" s="4">
        <f>10*2250.5-$C$16</f>
        <v>4055</v>
      </c>
      <c r="K17" s="13">
        <f>10*2289.5-$C$16</f>
        <v>4445</v>
      </c>
      <c r="L17" s="4">
        <f>10*2327.5-$C$16</f>
        <v>4825</v>
      </c>
      <c r="M17" s="13">
        <f>10*2363.5-$C$16</f>
        <v>5185</v>
      </c>
      <c r="N17" s="4">
        <f>10*2399.5-$C$16</f>
        <v>5545</v>
      </c>
      <c r="O17" s="13">
        <f>10*2435.5-$C$16</f>
        <v>5905</v>
      </c>
      <c r="P17" s="4">
        <f>10*2471.5-$C$16</f>
        <v>6265</v>
      </c>
      <c r="Q17" s="13">
        <f>10*2509.5-$C$16</f>
        <v>6645</v>
      </c>
      <c r="R17" s="2" t="s">
        <v>2</v>
      </c>
    </row>
    <row r="18" spans="1:20" ht="15.75" thickBot="1" x14ac:dyDescent="0.3">
      <c r="A18" s="63"/>
      <c r="B18" s="57"/>
      <c r="C18" s="80" t="s">
        <v>63</v>
      </c>
      <c r="D18" s="80"/>
      <c r="E18" s="81"/>
      <c r="H18" s="6">
        <f>10*2029.5-$C$16</f>
        <v>1845</v>
      </c>
      <c r="I18" s="14">
        <f>10*2056.5-$C$16</f>
        <v>2115</v>
      </c>
      <c r="J18" s="6">
        <f>10*2100.5-$C$16</f>
        <v>2555</v>
      </c>
      <c r="K18" s="14">
        <f>10*2139.5-$C$16</f>
        <v>2945</v>
      </c>
      <c r="L18" s="6">
        <f>10*2177.5-$C$16</f>
        <v>3325</v>
      </c>
      <c r="M18" s="14">
        <f>10*2213.5-$C$16</f>
        <v>3685</v>
      </c>
      <c r="N18" s="6">
        <f>10*2249.5-$C$16</f>
        <v>4045</v>
      </c>
      <c r="O18" s="14">
        <f>10*2285.5-$C$16</f>
        <v>4405</v>
      </c>
      <c r="P18" s="6">
        <f>10*2321.5-$C$16</f>
        <v>4765</v>
      </c>
      <c r="Q18" s="14">
        <f>10*2359.5-$C$16</f>
        <v>5145</v>
      </c>
      <c r="R18" s="3" t="s">
        <v>3</v>
      </c>
    </row>
    <row r="19" spans="1:20" ht="19.5" thickBot="1" x14ac:dyDescent="0.35">
      <c r="A19" s="58" t="s">
        <v>62</v>
      </c>
      <c r="B19" s="59">
        <v>31</v>
      </c>
      <c r="C19" s="78" t="str">
        <f>LOOKUP($B19,Data!$A$2:$A$174,Data!$B$2:$B$174)</f>
        <v>Player 31</v>
      </c>
      <c r="D19" s="78"/>
      <c r="E19" s="79"/>
      <c r="H19" s="85" t="s">
        <v>16</v>
      </c>
      <c r="I19" s="80"/>
      <c r="J19" s="80"/>
      <c r="K19" s="80"/>
      <c r="L19" s="80"/>
      <c r="M19" s="80"/>
      <c r="N19" s="36"/>
      <c r="O19" s="36"/>
      <c r="P19" s="36"/>
      <c r="Q19" s="36"/>
      <c r="R19" s="36"/>
      <c r="S19" s="37"/>
      <c r="T19" s="10"/>
    </row>
    <row r="20" spans="1:20" x14ac:dyDescent="0.25">
      <c r="H20" s="29">
        <v>9</v>
      </c>
      <c r="I20" s="39">
        <v>8.5</v>
      </c>
      <c r="J20" s="47">
        <v>8</v>
      </c>
      <c r="K20" s="39">
        <v>7.5</v>
      </c>
      <c r="L20" s="46">
        <v>7</v>
      </c>
      <c r="M20" s="39">
        <v>6.5</v>
      </c>
      <c r="N20" s="46">
        <v>6</v>
      </c>
      <c r="O20" s="39">
        <v>5.5</v>
      </c>
      <c r="P20" s="46">
        <v>5</v>
      </c>
      <c r="Q20" s="39">
        <v>4.5</v>
      </c>
      <c r="R20" s="46">
        <v>4</v>
      </c>
      <c r="S20" s="9"/>
    </row>
    <row r="21" spans="1:20" x14ac:dyDescent="0.25">
      <c r="H21" s="4">
        <f>11*2379.5-$C$16</f>
        <v>7724.5</v>
      </c>
      <c r="I21" s="13">
        <f>11*2388.5-$C$16</f>
        <v>7823.5</v>
      </c>
      <c r="J21" s="4">
        <f>11*2424.5-$C$16</f>
        <v>8219.5</v>
      </c>
      <c r="K21" s="13">
        <f>11*2466.5-$C$16</f>
        <v>8681.5</v>
      </c>
      <c r="L21" s="4">
        <f>11*2497.5-$C$16</f>
        <v>9022.5</v>
      </c>
      <c r="M21" s="13">
        <f>11*2534.5-$C$16</f>
        <v>9429.5</v>
      </c>
      <c r="N21" s="4">
        <f>11*2563.5-$C$16</f>
        <v>9748.5</v>
      </c>
      <c r="O21" s="13">
        <f>11*2599.5-$C$16</f>
        <v>10144.5</v>
      </c>
      <c r="P21" s="4">
        <f>11*2635.5-$C$16</f>
        <v>10540.5</v>
      </c>
      <c r="Q21" s="13">
        <f>11*2664.5-$C$16</f>
        <v>10859.5</v>
      </c>
      <c r="R21" s="4">
        <f>11*2701.5-$C$16</f>
        <v>11266.5</v>
      </c>
      <c r="S21" s="2" t="s">
        <v>0</v>
      </c>
    </row>
    <row r="22" spans="1:20" x14ac:dyDescent="0.25">
      <c r="H22" s="4">
        <f>11*2229.5-$C$16</f>
        <v>6074.5</v>
      </c>
      <c r="I22" s="13">
        <f>11*2238.5-$C$16</f>
        <v>6173.5</v>
      </c>
      <c r="J22" s="4">
        <f>11*2274.5-$C$16</f>
        <v>6569.5</v>
      </c>
      <c r="K22" s="13">
        <f>11*2316.5-$C$16</f>
        <v>7031.5</v>
      </c>
      <c r="L22" s="4">
        <f>11*2347.5-$C$16</f>
        <v>7372.5</v>
      </c>
      <c r="M22" s="13">
        <f>11*2384.5-$C$16</f>
        <v>7779.5</v>
      </c>
      <c r="N22" s="4">
        <f>11*2413.5-$C$16</f>
        <v>8098.5</v>
      </c>
      <c r="O22" s="13">
        <f>11*2449.5-$C$16</f>
        <v>8494.5</v>
      </c>
      <c r="P22" s="4">
        <f>11*2485.5-$C$16</f>
        <v>8890.5</v>
      </c>
      <c r="Q22" s="13">
        <f>11*2514.5-$C$16</f>
        <v>9209.5</v>
      </c>
      <c r="R22" s="4">
        <f>11*2551.5-$C$16</f>
        <v>9616.5</v>
      </c>
      <c r="S22" s="2" t="s">
        <v>1</v>
      </c>
    </row>
    <row r="23" spans="1:20" x14ac:dyDescent="0.25">
      <c r="H23" s="4">
        <f>11*2179.5-$C$16</f>
        <v>5524.5</v>
      </c>
      <c r="I23" s="13">
        <f>11*2188.5-$C$16</f>
        <v>5623.5</v>
      </c>
      <c r="J23" s="4">
        <f>11*2224.5-$C$16</f>
        <v>6019.5</v>
      </c>
      <c r="K23" s="13">
        <f>11*2266.5-$C$16</f>
        <v>6481.5</v>
      </c>
      <c r="L23" s="4">
        <f>11*2297.5-$C$16</f>
        <v>6822.5</v>
      </c>
      <c r="M23" s="13">
        <f>11*2334.5-$C$16</f>
        <v>7229.5</v>
      </c>
      <c r="N23" s="4">
        <f>11*2363.5-$C$16</f>
        <v>7548.5</v>
      </c>
      <c r="O23" s="13">
        <f>11*2399.5-$C$16</f>
        <v>7944.5</v>
      </c>
      <c r="P23" s="4">
        <f>11*2435.5-$C$16</f>
        <v>8340.5</v>
      </c>
      <c r="Q23" s="13">
        <f>11*2464.5-$C$16</f>
        <v>8659.5</v>
      </c>
      <c r="R23" s="4">
        <f>11*2501.5-$C$16</f>
        <v>9066.5</v>
      </c>
      <c r="S23" s="2" t="s">
        <v>2</v>
      </c>
    </row>
    <row r="24" spans="1:20" ht="15.75" thickBot="1" x14ac:dyDescent="0.3">
      <c r="H24" s="6">
        <f>11*2029.5-$C$16</f>
        <v>3874.5</v>
      </c>
      <c r="I24" s="14">
        <f>11*2038.5-$C$16</f>
        <v>3973.5</v>
      </c>
      <c r="J24" s="6">
        <f>11*2074.5-$C$16</f>
        <v>4369.5</v>
      </c>
      <c r="K24" s="14">
        <f>11*2116.5-$C$16</f>
        <v>4831.5</v>
      </c>
      <c r="L24" s="6">
        <f>11*2147.5-$C$16</f>
        <v>5172.5</v>
      </c>
      <c r="M24" s="14">
        <f>11*2184.5-$C$16</f>
        <v>5579.5</v>
      </c>
      <c r="N24" s="6">
        <f>11*2213.5-$C$16</f>
        <v>5898.5</v>
      </c>
      <c r="O24" s="14">
        <f>11*2249.5-$C$16</f>
        <v>6294.5</v>
      </c>
      <c r="P24" s="6">
        <f>11*2285.5-$C$16</f>
        <v>6690.5</v>
      </c>
      <c r="Q24" s="14">
        <f>11*2314.5-$C$16</f>
        <v>7009.5</v>
      </c>
      <c r="R24" s="6">
        <f>11*2351.5-$C$16</f>
        <v>7416.5</v>
      </c>
      <c r="S24" s="3" t="s">
        <v>3</v>
      </c>
    </row>
    <row r="25" spans="1:20" x14ac:dyDescent="0.25">
      <c r="H25" s="15"/>
      <c r="I25" s="16"/>
      <c r="J25" s="16"/>
      <c r="K25" s="16"/>
      <c r="L25" s="16"/>
      <c r="M25" s="75"/>
      <c r="N25" s="75"/>
      <c r="O25" s="75"/>
      <c r="P25" s="75"/>
      <c r="Q25" s="76"/>
    </row>
    <row r="26" spans="1:20" x14ac:dyDescent="0.25">
      <c r="H26" s="17"/>
      <c r="I26" s="17"/>
      <c r="J26" s="17"/>
      <c r="K26" s="17"/>
      <c r="L26" s="17"/>
    </row>
    <row r="27" spans="1:20" x14ac:dyDescent="0.25">
      <c r="H27" s="17"/>
      <c r="I27" s="17"/>
      <c r="J27" s="17"/>
      <c r="K27" s="17"/>
      <c r="L27" s="17"/>
    </row>
    <row r="28" spans="1:20" x14ac:dyDescent="0.25">
      <c r="H28" s="17"/>
      <c r="I28" s="17"/>
      <c r="J28" s="17"/>
      <c r="K28" s="17"/>
      <c r="L28" s="17"/>
    </row>
    <row r="29" spans="1:20" x14ac:dyDescent="0.25">
      <c r="H29" s="17"/>
      <c r="I29" s="17"/>
      <c r="J29" s="17"/>
      <c r="K29" s="17"/>
      <c r="L29" s="17"/>
    </row>
    <row r="30" spans="1:20" x14ac:dyDescent="0.25">
      <c r="H30" s="17"/>
      <c r="I30" s="17"/>
      <c r="J30" s="17"/>
      <c r="K30" s="17"/>
      <c r="L30" s="17"/>
    </row>
    <row r="31" spans="1:20" x14ac:dyDescent="0.25">
      <c r="H31" s="17"/>
      <c r="I31" s="17"/>
      <c r="J31" s="17"/>
      <c r="K31" s="17"/>
      <c r="L31" s="17"/>
    </row>
    <row r="32" spans="1:20" x14ac:dyDescent="0.25">
      <c r="H32" s="17"/>
      <c r="I32" s="17"/>
      <c r="J32" s="17"/>
      <c r="K32" s="17"/>
      <c r="L32" s="17"/>
    </row>
    <row r="33" spans="8:12" x14ac:dyDescent="0.25">
      <c r="H33" s="17"/>
      <c r="I33" s="17"/>
      <c r="J33" s="17"/>
      <c r="K33" s="17"/>
      <c r="L33" s="17"/>
    </row>
  </sheetData>
  <mergeCells count="8">
    <mergeCell ref="M25:Q25"/>
    <mergeCell ref="I1:J1"/>
    <mergeCell ref="H7:M7"/>
    <mergeCell ref="H13:M13"/>
    <mergeCell ref="A16:B16"/>
    <mergeCell ref="C18:E18"/>
    <mergeCell ref="C19:E19"/>
    <mergeCell ref="H19:M19"/>
  </mergeCells>
  <dataValidations count="1">
    <dataValidation type="list" allowBlank="1" showInputMessage="1" showErrorMessage="1" sqref="M1" xr:uid="{00000000-0002-0000-0700-000000000000}">
      <formula1>Select_Title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33"/>
  <sheetViews>
    <sheetView tabSelected="1" zoomScale="85" zoomScaleNormal="85" workbookViewId="0">
      <selection activeCell="G10" sqref="G10"/>
    </sheetView>
  </sheetViews>
  <sheetFormatPr defaultRowHeight="15" x14ac:dyDescent="0.25"/>
  <cols>
    <col min="1" max="1" width="3.85546875" style="10" customWidth="1"/>
    <col min="2" max="2" width="5" bestFit="1" customWidth="1"/>
    <col min="8" max="13" width="7.7109375" bestFit="1" customWidth="1"/>
    <col min="15" max="18" width="7" bestFit="1" customWidth="1"/>
  </cols>
  <sheetData>
    <row r="1" spans="1:25" ht="30.75" thickBot="1" x14ac:dyDescent="0.3">
      <c r="A1" s="67" t="s">
        <v>36</v>
      </c>
      <c r="B1" s="43" t="s">
        <v>18</v>
      </c>
      <c r="C1" s="43" t="s">
        <v>10</v>
      </c>
      <c r="D1" s="43" t="s">
        <v>31</v>
      </c>
      <c r="E1" s="43" t="s">
        <v>17</v>
      </c>
      <c r="F1" s="43" t="s">
        <v>34</v>
      </c>
      <c r="G1" s="43" t="s">
        <v>11</v>
      </c>
      <c r="H1" s="41"/>
      <c r="I1" s="82" t="s">
        <v>8</v>
      </c>
      <c r="J1" s="82"/>
      <c r="K1" s="43"/>
      <c r="L1" s="44" t="s">
        <v>35</v>
      </c>
      <c r="M1" s="43" t="s">
        <v>1</v>
      </c>
    </row>
    <row r="2" spans="1:25" ht="21" customHeight="1" thickBot="1" x14ac:dyDescent="0.3">
      <c r="A2" s="10">
        <v>1</v>
      </c>
      <c r="B2">
        <v>12</v>
      </c>
      <c r="C2">
        <f>IF(D2=0,1000,D2)</f>
        <v>2499</v>
      </c>
      <c r="D2">
        <f>LOOKUP(B2,Data!$A$2:$A$174,Data!$E$2:$E$174)</f>
        <v>2499</v>
      </c>
      <c r="E2" t="str">
        <f>LOOKUP(B2,Data!$A$2:$A$174,Data!$C$2:$C$174)</f>
        <v>ENG</v>
      </c>
      <c r="F2" t="str">
        <f>LOOKUP(B2,Data!$A$2:$A$174,Data!$D$2:$D$174)</f>
        <v>GM</v>
      </c>
      <c r="G2">
        <v>0</v>
      </c>
      <c r="H2" s="42"/>
      <c r="I2" s="1" t="s">
        <v>0</v>
      </c>
      <c r="J2" s="1">
        <v>2200</v>
      </c>
      <c r="N2" s="23" t="s">
        <v>30</v>
      </c>
      <c r="O2" s="24">
        <f>MIN(C2:C14)</f>
        <v>1763</v>
      </c>
      <c r="P2" s="16"/>
      <c r="Q2" s="16"/>
      <c r="R2" s="16"/>
      <c r="S2" s="60">
        <v>2238</v>
      </c>
      <c r="Y2">
        <f>IF(C2=" ",0,1)</f>
        <v>1</v>
      </c>
    </row>
    <row r="3" spans="1:25" ht="21.75" thickBot="1" x14ac:dyDescent="0.3">
      <c r="A3" s="10">
        <v>2</v>
      </c>
      <c r="B3">
        <v>106</v>
      </c>
      <c r="C3">
        <f t="shared" ref="C3:C14" si="0">IF(D3=0,1000,D3)</f>
        <v>1981</v>
      </c>
      <c r="D3">
        <f>LOOKUP(B3,Data!$A$2:$A$174,Data!$E$2:$E$174)</f>
        <v>1981</v>
      </c>
      <c r="E3" t="str">
        <f>LOOKUP(B3,Data!$A$2:$A$174,Data!$C$2:$C$174)</f>
        <v>MGL</v>
      </c>
      <c r="F3">
        <f>LOOKUP(B3,Data!$A$2:$A$174,Data!$D$2:$D$174)</f>
        <v>0</v>
      </c>
      <c r="G3">
        <v>0</v>
      </c>
      <c r="I3" s="1" t="s">
        <v>1</v>
      </c>
      <c r="J3" s="1">
        <v>2050</v>
      </c>
      <c r="N3" s="25" t="s">
        <v>33</v>
      </c>
      <c r="O3" s="26">
        <f>IF(M1="GM",J2,IF(M1="IM",J3,IF(M1="WGM",J4,J5)))</f>
        <v>2050</v>
      </c>
      <c r="P3" s="17"/>
      <c r="Q3" s="17"/>
      <c r="R3" s="17"/>
      <c r="S3" s="60">
        <v>2462</v>
      </c>
      <c r="Y3">
        <f t="shared" ref="Y3:Y14" si="1">IF(C3=" ",0,1)</f>
        <v>1</v>
      </c>
    </row>
    <row r="4" spans="1:25" ht="15.75" thickBot="1" x14ac:dyDescent="0.3">
      <c r="A4" s="10">
        <v>3</v>
      </c>
      <c r="B4">
        <v>97</v>
      </c>
      <c r="C4">
        <f t="shared" si="0"/>
        <v>1763</v>
      </c>
      <c r="D4">
        <f>LOOKUP(B4,Data!$A$2:$A$174,Data!$E$2:$E$174)</f>
        <v>1763</v>
      </c>
      <c r="E4" t="str">
        <f>LOOKUP(B4,Data!$A$2:$A$174,Data!$C$2:$C$174)</f>
        <v>ENG</v>
      </c>
      <c r="F4">
        <f>LOOKUP(B4,Data!$A$2:$A$174,Data!$D$2:$D$174)</f>
        <v>0</v>
      </c>
      <c r="G4">
        <v>1</v>
      </c>
      <c r="I4" s="1" t="s">
        <v>2</v>
      </c>
      <c r="J4" s="1">
        <v>2000</v>
      </c>
      <c r="N4" s="17"/>
      <c r="O4" s="17"/>
      <c r="P4" s="17"/>
      <c r="Q4" s="17"/>
      <c r="R4" s="17"/>
      <c r="S4" s="60">
        <v>2552</v>
      </c>
      <c r="Y4">
        <f t="shared" si="1"/>
        <v>1</v>
      </c>
    </row>
    <row r="5" spans="1:25" ht="15.75" thickBot="1" x14ac:dyDescent="0.3">
      <c r="A5" s="10">
        <v>4</v>
      </c>
      <c r="B5">
        <v>73</v>
      </c>
      <c r="C5">
        <f t="shared" si="0"/>
        <v>2004</v>
      </c>
      <c r="D5">
        <f>LOOKUP(B5,Data!$A$2:$A$174,Data!$E$2:$E$174)</f>
        <v>2004</v>
      </c>
      <c r="E5" t="str">
        <f>LOOKUP(B5,Data!$A$2:$A$174,Data!$C$2:$C$174)</f>
        <v>ENG</v>
      </c>
      <c r="F5">
        <f>LOOKUP(B5,Data!$A$2:$A$174,Data!$D$2:$D$174)</f>
        <v>0</v>
      </c>
      <c r="G5">
        <v>1</v>
      </c>
      <c r="I5" s="1" t="s">
        <v>3</v>
      </c>
      <c r="J5" s="1">
        <v>1850</v>
      </c>
      <c r="N5" s="17"/>
      <c r="O5" s="17"/>
      <c r="P5" s="17"/>
      <c r="Q5" s="17"/>
      <c r="R5" s="17"/>
      <c r="S5" s="60">
        <v>1800</v>
      </c>
      <c r="Y5">
        <f t="shared" si="1"/>
        <v>1</v>
      </c>
    </row>
    <row r="6" spans="1:25" ht="15.75" thickBot="1" x14ac:dyDescent="0.3">
      <c r="A6" s="10">
        <v>5</v>
      </c>
      <c r="B6">
        <v>69</v>
      </c>
      <c r="C6">
        <f t="shared" si="0"/>
        <v>2010</v>
      </c>
      <c r="D6">
        <f>LOOKUP(B6,Data!$A$2:$A$174,Data!$E$2:$E$174)</f>
        <v>2010</v>
      </c>
      <c r="E6" t="str">
        <f>LOOKUP(B6,Data!$A$2:$A$174,Data!$C$2:$C$174)</f>
        <v>GER</v>
      </c>
      <c r="F6">
        <f>LOOKUP(B6,Data!$A$2:$A$174,Data!$D$2:$D$174)</f>
        <v>0</v>
      </c>
      <c r="G6">
        <v>1</v>
      </c>
      <c r="N6" s="17"/>
      <c r="O6" s="17"/>
      <c r="P6" s="17"/>
      <c r="Q6" s="17"/>
      <c r="R6" s="17"/>
      <c r="S6" s="60">
        <v>2502</v>
      </c>
      <c r="Y6">
        <f t="shared" si="1"/>
        <v>1</v>
      </c>
    </row>
    <row r="7" spans="1:25" ht="15.75" thickBot="1" x14ac:dyDescent="0.3">
      <c r="A7" s="10">
        <v>6</v>
      </c>
      <c r="B7">
        <v>20</v>
      </c>
      <c r="C7">
        <f t="shared" si="0"/>
        <v>2398</v>
      </c>
      <c r="D7">
        <f>LOOKUP(B7,Data!$A$2:$A$174,Data!$E$2:$E$174)</f>
        <v>2398</v>
      </c>
      <c r="E7" t="str">
        <f>LOOKUP(B7,Data!$A$2:$A$174,Data!$C$2:$C$174)</f>
        <v>ENG</v>
      </c>
      <c r="F7" t="str">
        <f>LOOKUP(B7,Data!$A$2:$A$174,Data!$D$2:$D$174)</f>
        <v>FM</v>
      </c>
      <c r="G7">
        <v>1</v>
      </c>
      <c r="H7" s="83" t="s">
        <v>13</v>
      </c>
      <c r="I7" s="84"/>
      <c r="J7" s="84"/>
      <c r="K7" s="84"/>
      <c r="L7" s="84"/>
      <c r="M7" s="84"/>
      <c r="N7" s="27"/>
      <c r="O7" s="27"/>
      <c r="P7" s="28"/>
      <c r="Q7" s="17"/>
      <c r="R7" s="17"/>
      <c r="S7" s="60">
        <v>2314</v>
      </c>
      <c r="Y7">
        <f t="shared" si="1"/>
        <v>1</v>
      </c>
    </row>
    <row r="8" spans="1:25" ht="15.75" thickBot="1" x14ac:dyDescent="0.3">
      <c r="A8" s="10">
        <v>7</v>
      </c>
      <c r="B8">
        <v>32</v>
      </c>
      <c r="C8">
        <f t="shared" si="0"/>
        <v>2272</v>
      </c>
      <c r="D8">
        <f>LOOKUP(B8,Data!$A$2:$A$174,Data!$E$2:$E$174)</f>
        <v>2272</v>
      </c>
      <c r="E8" t="str">
        <f>LOOKUP(B8,Data!$A$2:$A$174,Data!$C$2:$C$174)</f>
        <v>ENG</v>
      </c>
      <c r="F8" t="str">
        <f>LOOKUP(B8,Data!$A$2:$A$174,Data!$D$2:$D$174)</f>
        <v>FM</v>
      </c>
      <c r="G8">
        <v>1</v>
      </c>
      <c r="H8" s="29" t="s">
        <v>4</v>
      </c>
      <c r="I8" s="34" t="s">
        <v>5</v>
      </c>
      <c r="J8" s="30" t="s">
        <v>6</v>
      </c>
      <c r="K8" s="34" t="s">
        <v>7</v>
      </c>
      <c r="L8" s="30" t="s">
        <v>9</v>
      </c>
      <c r="M8" s="35">
        <v>4.5</v>
      </c>
      <c r="N8" s="31">
        <v>4</v>
      </c>
      <c r="O8" s="32">
        <v>3.5</v>
      </c>
      <c r="P8" s="33"/>
      <c r="Q8" s="17"/>
      <c r="R8" s="17"/>
      <c r="S8" s="60">
        <v>2448</v>
      </c>
      <c r="Y8">
        <f t="shared" si="1"/>
        <v>1</v>
      </c>
    </row>
    <row r="9" spans="1:25" ht="15.75" thickBot="1" x14ac:dyDescent="0.3">
      <c r="A9" s="10">
        <v>8</v>
      </c>
      <c r="B9">
        <v>15</v>
      </c>
      <c r="C9">
        <f t="shared" si="0"/>
        <v>2451</v>
      </c>
      <c r="D9">
        <f>LOOKUP(B9,Data!$A$2:$A$174,Data!$E$2:$E$174)</f>
        <v>2451</v>
      </c>
      <c r="E9" t="str">
        <f>LOOKUP(B9,Data!$A$2:$A$174,Data!$C$2:$C$174)</f>
        <v>ISL</v>
      </c>
      <c r="F9" t="str">
        <f>LOOKUP(B9,Data!$A$2:$A$174,Data!$D$2:$D$174)</f>
        <v>IM</v>
      </c>
      <c r="G9" t="s">
        <v>15</v>
      </c>
      <c r="H9" s="4">
        <f>9*2379.5-$C$16</f>
        <v>3750.5</v>
      </c>
      <c r="I9" s="21">
        <f>9*2433.5-$C$16</f>
        <v>4236.5</v>
      </c>
      <c r="J9" s="5">
        <f>9*2474.5-$C$16</f>
        <v>4605.5</v>
      </c>
      <c r="K9" s="69">
        <f>9*2519.5-$C$16</f>
        <v>5010.5</v>
      </c>
      <c r="L9" s="5">
        <f>9*2556.5-$C$16</f>
        <v>5343.5</v>
      </c>
      <c r="M9" s="21">
        <f>9*2599.5-$C$16</f>
        <v>5730.5</v>
      </c>
      <c r="N9" s="5">
        <f>9*2642.5-$C$16</f>
        <v>6117.5</v>
      </c>
      <c r="O9" s="21">
        <f>9*2679.5-$C$16</f>
        <v>6450.5</v>
      </c>
      <c r="P9" s="2" t="s">
        <v>0</v>
      </c>
      <c r="Q9" s="17"/>
      <c r="R9" s="17"/>
      <c r="S9" s="60">
        <v>2597</v>
      </c>
      <c r="Y9">
        <f t="shared" si="1"/>
        <v>1</v>
      </c>
    </row>
    <row r="10" spans="1:25" ht="15.75" thickBot="1" x14ac:dyDescent="0.3">
      <c r="A10" s="10">
        <v>9</v>
      </c>
      <c r="B10">
        <v>1000</v>
      </c>
      <c r="C10" t="str">
        <f t="shared" si="0"/>
        <v xml:space="preserve"> </v>
      </c>
      <c r="D10" t="str">
        <f>LOOKUP(B10,Data!$A$2:$A$174,Data!$E$2:$E$174)</f>
        <v xml:space="preserve"> </v>
      </c>
      <c r="E10" t="str">
        <f>LOOKUP(B10,Data!$A$2:$A$174,Data!$C$2:$C$174)</f>
        <v xml:space="preserve"> </v>
      </c>
      <c r="F10" t="str">
        <f>LOOKUP(B10,Data!$A$2:$A$174,Data!$D$2:$D$174)</f>
        <v xml:space="preserve"> </v>
      </c>
      <c r="G10" t="s">
        <v>15</v>
      </c>
      <c r="H10" s="4">
        <f>9*2229.5-$C$16</f>
        <v>2400.5</v>
      </c>
      <c r="I10" s="21">
        <f>9*2283.5-$C$16</f>
        <v>2886.5</v>
      </c>
      <c r="J10" s="5">
        <f>9*2324.5-$C$16</f>
        <v>3255.5</v>
      </c>
      <c r="K10" s="21">
        <f>9*2369.5-$C$16</f>
        <v>3660.5</v>
      </c>
      <c r="L10" s="5">
        <f>9*2406.5-$C$16</f>
        <v>3993.5</v>
      </c>
      <c r="M10" s="21">
        <f>9*2449.5-$C$16</f>
        <v>4380.5</v>
      </c>
      <c r="N10" s="5">
        <f>9*2492.5-$C$16</f>
        <v>4767.5</v>
      </c>
      <c r="O10" s="21">
        <f>9*2529.5-$C$16</f>
        <v>5100.5</v>
      </c>
      <c r="P10" s="2" t="s">
        <v>1</v>
      </c>
      <c r="Q10" s="17"/>
      <c r="R10" s="17"/>
      <c r="S10" s="60">
        <v>2492</v>
      </c>
      <c r="Y10">
        <f t="shared" si="1"/>
        <v>0</v>
      </c>
    </row>
    <row r="11" spans="1:25" x14ac:dyDescent="0.25">
      <c r="A11" s="10">
        <v>10</v>
      </c>
      <c r="B11">
        <v>1000</v>
      </c>
      <c r="C11" t="str">
        <f t="shared" si="0"/>
        <v xml:space="preserve"> </v>
      </c>
      <c r="D11" t="str">
        <f>LOOKUP(B11,Data!$A$2:$A$174,Data!$E$2:$E$174)</f>
        <v xml:space="preserve"> </v>
      </c>
      <c r="E11" t="str">
        <f>LOOKUP(B11,Data!$A$2:$A$174,Data!$C$2:$C$174)</f>
        <v xml:space="preserve"> </v>
      </c>
      <c r="F11" t="str">
        <f>LOOKUP(B11,Data!$A$2:$A$174,Data!$D$2:$D$174)</f>
        <v xml:space="preserve"> </v>
      </c>
      <c r="G11" t="s">
        <v>15</v>
      </c>
      <c r="H11" s="4">
        <f>9*2169.5-$C$16</f>
        <v>1860.5</v>
      </c>
      <c r="I11" s="21">
        <f>9*2233.5-$C$16</f>
        <v>2436.5</v>
      </c>
      <c r="J11" s="5">
        <f>9*2274.5-$C$16</f>
        <v>2805.5</v>
      </c>
      <c r="K11" s="21">
        <f>9*2319.5-$C$16</f>
        <v>3210.5</v>
      </c>
      <c r="L11" s="5">
        <f>9*2356.5-$C$16</f>
        <v>3543.5</v>
      </c>
      <c r="M11" s="21">
        <f>9*2399.5-$C$16</f>
        <v>3930.5</v>
      </c>
      <c r="N11" s="5">
        <f>9*2442.5-$C$16</f>
        <v>4317.5</v>
      </c>
      <c r="O11" s="21">
        <f>9*2479.5-$C$16</f>
        <v>4650.5</v>
      </c>
      <c r="P11" s="2" t="s">
        <v>2</v>
      </c>
      <c r="S11">
        <f>AVERAGE(S2:S10)</f>
        <v>2378.3333333333335</v>
      </c>
      <c r="Y11">
        <f t="shared" si="1"/>
        <v>0</v>
      </c>
    </row>
    <row r="12" spans="1:25" ht="15.75" thickBot="1" x14ac:dyDescent="0.3">
      <c r="A12" s="10">
        <v>11</v>
      </c>
      <c r="B12">
        <v>1000</v>
      </c>
      <c r="C12" t="str">
        <f t="shared" si="0"/>
        <v xml:space="preserve"> </v>
      </c>
      <c r="D12" t="str">
        <f>LOOKUP(B12,Data!$A$2:$A$174,Data!$E$2:$E$174)</f>
        <v xml:space="preserve"> </v>
      </c>
      <c r="E12" t="str">
        <f>LOOKUP(B12,Data!$A$2:$A$174,Data!$C$2:$C$174)</f>
        <v xml:space="preserve"> </v>
      </c>
      <c r="F12" t="str">
        <f>LOOKUP(B12,Data!$A$2:$A$174,Data!$D$2:$D$174)</f>
        <v xml:space="preserve"> </v>
      </c>
      <c r="H12" s="6">
        <f>9*2029.5-$C$16</f>
        <v>600.5</v>
      </c>
      <c r="I12" s="22">
        <f>9*2083.5-$C$16</f>
        <v>1086.5</v>
      </c>
      <c r="J12" s="7">
        <f>9*2124.5-$C$16</f>
        <v>1455.5</v>
      </c>
      <c r="K12" s="21">
        <f>9*2169.5-$C$16</f>
        <v>1860.5</v>
      </c>
      <c r="L12" s="7">
        <f>9*2206.5-$C$16</f>
        <v>2193.5</v>
      </c>
      <c r="M12" s="22">
        <f>9*2249.5-$C$16</f>
        <v>2580.5</v>
      </c>
      <c r="N12" s="7">
        <f>9*2292.5-$C$16</f>
        <v>2967.5</v>
      </c>
      <c r="O12" s="22">
        <f>9*2329.5-$C$16</f>
        <v>3300.5</v>
      </c>
      <c r="P12" s="3" t="s">
        <v>3</v>
      </c>
      <c r="Y12">
        <f t="shared" si="1"/>
        <v>0</v>
      </c>
    </row>
    <row r="13" spans="1:25" ht="15.75" thickBot="1" x14ac:dyDescent="0.3">
      <c r="A13" s="10">
        <v>12</v>
      </c>
      <c r="B13">
        <v>1000</v>
      </c>
      <c r="C13" t="str">
        <f t="shared" si="0"/>
        <v xml:space="preserve"> </v>
      </c>
      <c r="D13" t="str">
        <f>LOOKUP(B13,Data!$A$2:$A$174,Data!$E$2:$E$174)</f>
        <v xml:space="preserve"> </v>
      </c>
      <c r="E13" t="str">
        <f>LOOKUP(B13,Data!$A$2:$A$174,Data!$C$2:$C$174)</f>
        <v xml:space="preserve"> </v>
      </c>
      <c r="F13" t="str">
        <f>LOOKUP(B13,Data!$A$2:$A$174,Data!$D$2:$D$174)</f>
        <v xml:space="preserve"> </v>
      </c>
      <c r="H13" s="85" t="s">
        <v>14</v>
      </c>
      <c r="I13" s="80"/>
      <c r="J13" s="80"/>
      <c r="K13" s="80"/>
      <c r="L13" s="80"/>
      <c r="M13" s="80"/>
      <c r="N13" s="8"/>
      <c r="O13" s="8"/>
      <c r="P13" s="8"/>
      <c r="Q13" s="8"/>
      <c r="R13" s="9"/>
      <c r="Y13">
        <f t="shared" si="1"/>
        <v>0</v>
      </c>
    </row>
    <row r="14" spans="1:25" x14ac:dyDescent="0.25">
      <c r="A14" s="10">
        <v>13</v>
      </c>
      <c r="B14">
        <v>1000</v>
      </c>
      <c r="C14" t="str">
        <f t="shared" si="0"/>
        <v xml:space="preserve"> </v>
      </c>
      <c r="D14" t="str">
        <f>LOOKUP(B14,Data!$A$2:$A$174,Data!$E$2:$E$174)</f>
        <v xml:space="preserve"> </v>
      </c>
      <c r="E14" t="str">
        <f>LOOKUP(B14,Data!$A$2:$A$174,Data!$C$2:$C$174)</f>
        <v xml:space="preserve"> </v>
      </c>
      <c r="F14" t="str">
        <f>LOOKUP(B14,Data!$A$2:$A$174,Data!$D$2:$D$174)</f>
        <v xml:space="preserve"> </v>
      </c>
      <c r="H14" s="29">
        <v>8</v>
      </c>
      <c r="I14" s="34">
        <v>7.5</v>
      </c>
      <c r="J14" s="30">
        <v>7</v>
      </c>
      <c r="K14" s="34">
        <v>6.5</v>
      </c>
      <c r="L14" s="30">
        <v>6</v>
      </c>
      <c r="M14" s="34">
        <v>5.5</v>
      </c>
      <c r="N14" s="30">
        <v>5</v>
      </c>
      <c r="O14" s="34">
        <v>4.5</v>
      </c>
      <c r="P14" s="30">
        <v>4</v>
      </c>
      <c r="Q14" s="34">
        <v>3.5</v>
      </c>
      <c r="R14" s="40"/>
      <c r="Y14">
        <f t="shared" si="1"/>
        <v>0</v>
      </c>
    </row>
    <row r="15" spans="1:25" ht="15.75" thickBot="1" x14ac:dyDescent="0.3">
      <c r="A15" s="10" t="s">
        <v>19</v>
      </c>
      <c r="C15">
        <f>IF(O2&lt;O3,O3-O2,0)</f>
        <v>287</v>
      </c>
      <c r="H15" s="4">
        <f>10*2379.5-$C$16</f>
        <v>6130</v>
      </c>
      <c r="I15" s="13">
        <f>10*2406.5-$C$16</f>
        <v>6400</v>
      </c>
      <c r="J15" s="4">
        <f>10*2450.5-$C$16</f>
        <v>6840</v>
      </c>
      <c r="K15" s="13">
        <f>10*2489.5-$C$16</f>
        <v>7230</v>
      </c>
      <c r="L15" s="4">
        <f>10*2527.5-$C$16</f>
        <v>7610</v>
      </c>
      <c r="M15" s="13">
        <f>10*2563.5-$C$16</f>
        <v>7970</v>
      </c>
      <c r="N15" s="4">
        <f>10*2599.5-$C$16</f>
        <v>8330</v>
      </c>
      <c r="O15" s="13">
        <f>10*2635.5-$C$16</f>
        <v>8690</v>
      </c>
      <c r="P15" s="4">
        <f>10*2671.5-$C$16</f>
        <v>9050</v>
      </c>
      <c r="Q15" s="18">
        <f>10*2709.5-$C$16</f>
        <v>9430</v>
      </c>
      <c r="R15" s="2" t="s">
        <v>0</v>
      </c>
      <c r="Y15">
        <f>SUM(Y2:Y14)</f>
        <v>8</v>
      </c>
    </row>
    <row r="16" spans="1:25" ht="21.75" thickBot="1" x14ac:dyDescent="0.4">
      <c r="A16" s="77" t="s">
        <v>38</v>
      </c>
      <c r="B16" s="77"/>
      <c r="C16">
        <f>SUM(C2:C15)</f>
        <v>17665</v>
      </c>
      <c r="F16" s="50" t="s">
        <v>37</v>
      </c>
      <c r="G16" s="49">
        <f>SUM(G2:G14)</f>
        <v>5</v>
      </c>
      <c r="H16" s="4">
        <f>10*2229.5-$C$16</f>
        <v>4630</v>
      </c>
      <c r="I16" s="13">
        <f>10*2256.5-$C$16</f>
        <v>4900</v>
      </c>
      <c r="J16" s="4">
        <f>10*2300.5-$C$16</f>
        <v>5340</v>
      </c>
      <c r="K16" s="13">
        <f>10*2339.5-$C$16</f>
        <v>5730</v>
      </c>
      <c r="L16" s="4">
        <f>10*2377.5-$C$16</f>
        <v>6110</v>
      </c>
      <c r="M16" s="13">
        <f>10*2413.5-$C$16</f>
        <v>6470</v>
      </c>
      <c r="N16" s="4">
        <f>10*2449.5-$C$16</f>
        <v>6830</v>
      </c>
      <c r="O16" s="13">
        <f>10*2489.5-$C$16</f>
        <v>7230</v>
      </c>
      <c r="P16" s="4">
        <f>10*2521.5-$C$16</f>
        <v>7550</v>
      </c>
      <c r="Q16" s="13">
        <f>10*2559.5-$C$16</f>
        <v>7930</v>
      </c>
      <c r="R16" s="2" t="s">
        <v>1</v>
      </c>
    </row>
    <row r="17" spans="1:20" ht="15.75" thickBot="1" x14ac:dyDescent="0.3">
      <c r="A17" s="66" t="s">
        <v>32</v>
      </c>
      <c r="C17">
        <f>C16/Y15</f>
        <v>2208.125</v>
      </c>
      <c r="H17" s="4">
        <f>10*2179.5-$C$16</f>
        <v>4130</v>
      </c>
      <c r="I17" s="13">
        <f>10*2206.5-$C$16</f>
        <v>4400</v>
      </c>
      <c r="J17" s="4">
        <f>10*2250.5-$C$16</f>
        <v>4840</v>
      </c>
      <c r="K17" s="13">
        <f>10*2289.5-$C$16</f>
        <v>5230</v>
      </c>
      <c r="L17" s="4">
        <f>10*2327.5-$C$16</f>
        <v>5610</v>
      </c>
      <c r="M17" s="13">
        <f>10*2363.5-$C$16</f>
        <v>5970</v>
      </c>
      <c r="N17" s="4">
        <f>10*2399.5-$C$16</f>
        <v>6330</v>
      </c>
      <c r="O17" s="13">
        <f>10*2435.5-$C$16</f>
        <v>6690</v>
      </c>
      <c r="P17" s="4">
        <f>10*2471.5-$C$16</f>
        <v>7050</v>
      </c>
      <c r="Q17" s="13">
        <f>10*2509.5-$C$16</f>
        <v>7430</v>
      </c>
      <c r="R17" s="2" t="s">
        <v>2</v>
      </c>
    </row>
    <row r="18" spans="1:20" ht="15.75" thickBot="1" x14ac:dyDescent="0.3">
      <c r="A18" s="68"/>
      <c r="B18" s="57"/>
      <c r="C18" s="80" t="s">
        <v>63</v>
      </c>
      <c r="D18" s="80"/>
      <c r="E18" s="81"/>
      <c r="H18" s="6">
        <f>10*2029.5-$C$16</f>
        <v>2630</v>
      </c>
      <c r="I18" s="14">
        <f>10*2056.5-$C$16</f>
        <v>2900</v>
      </c>
      <c r="J18" s="6">
        <f>10*2100.5-$C$16</f>
        <v>3340</v>
      </c>
      <c r="K18" s="14">
        <f>10*2139.5-$C$16</f>
        <v>3730</v>
      </c>
      <c r="L18" s="6">
        <f>10*2177.5-$C$16</f>
        <v>4110</v>
      </c>
      <c r="M18" s="14">
        <f>10*2213.5-$C$16</f>
        <v>4470</v>
      </c>
      <c r="N18" s="6">
        <f>10*2249.5-$C$16</f>
        <v>4830</v>
      </c>
      <c r="O18" s="14">
        <f>10*2285.5-$C$16</f>
        <v>5190</v>
      </c>
      <c r="P18" s="6">
        <f>10*2321.5-$C$16</f>
        <v>5550</v>
      </c>
      <c r="Q18" s="14">
        <f>10*2359.5-$C$16</f>
        <v>5930</v>
      </c>
      <c r="R18" s="3" t="s">
        <v>3</v>
      </c>
    </row>
    <row r="19" spans="1:20" ht="19.5" thickBot="1" x14ac:dyDescent="0.35">
      <c r="A19" s="58" t="s">
        <v>62</v>
      </c>
      <c r="B19" s="59">
        <v>40</v>
      </c>
      <c r="C19" s="78" t="str">
        <f>LOOKUP($B19,Data!$A$2:$A$174,Data!$B$2:$B$174)</f>
        <v>Player 40</v>
      </c>
      <c r="D19" s="78"/>
      <c r="E19" s="79"/>
      <c r="H19" s="85" t="s">
        <v>16</v>
      </c>
      <c r="I19" s="80"/>
      <c r="J19" s="80"/>
      <c r="K19" s="80"/>
      <c r="L19" s="80"/>
      <c r="M19" s="80"/>
      <c r="N19" s="36"/>
      <c r="O19" s="36"/>
      <c r="P19" s="36"/>
      <c r="Q19" s="36"/>
      <c r="R19" s="36"/>
      <c r="S19" s="37"/>
      <c r="T19" s="10"/>
    </row>
    <row r="20" spans="1:20" x14ac:dyDescent="0.25">
      <c r="H20" s="29">
        <v>9</v>
      </c>
      <c r="I20" s="39">
        <v>8.5</v>
      </c>
      <c r="J20" s="47">
        <v>8</v>
      </c>
      <c r="K20" s="39">
        <v>7.5</v>
      </c>
      <c r="L20" s="46">
        <v>7</v>
      </c>
      <c r="M20" s="39">
        <v>6.5</v>
      </c>
      <c r="N20" s="46">
        <v>6</v>
      </c>
      <c r="O20" s="39">
        <v>5.5</v>
      </c>
      <c r="P20" s="46">
        <v>5</v>
      </c>
      <c r="Q20" s="39">
        <v>4.5</v>
      </c>
      <c r="R20" s="46">
        <v>4</v>
      </c>
      <c r="S20" s="9"/>
    </row>
    <row r="21" spans="1:20" x14ac:dyDescent="0.25">
      <c r="H21" s="4">
        <f>11*2379.5-$C$16</f>
        <v>8509.5</v>
      </c>
      <c r="I21" s="13">
        <f>11*2388.5-$C$16</f>
        <v>8608.5</v>
      </c>
      <c r="J21" s="4">
        <f>11*2424.5-$C$16</f>
        <v>9004.5</v>
      </c>
      <c r="K21" s="13">
        <f>11*2466.5-$C$16</f>
        <v>9466.5</v>
      </c>
      <c r="L21" s="4">
        <f>11*2497.5-$C$16</f>
        <v>9807.5</v>
      </c>
      <c r="M21" s="13">
        <f>11*2534.5-$C$16</f>
        <v>10214.5</v>
      </c>
      <c r="N21" s="4">
        <f>11*2563.5-$C$16</f>
        <v>10533.5</v>
      </c>
      <c r="O21" s="13">
        <f>11*2599.5-$C$16</f>
        <v>10929.5</v>
      </c>
      <c r="P21" s="4">
        <f>11*2635.5-$C$16</f>
        <v>11325.5</v>
      </c>
      <c r="Q21" s="13">
        <f>11*2664.5-$C$16</f>
        <v>11644.5</v>
      </c>
      <c r="R21" s="4">
        <f>11*2701.5-$C$16</f>
        <v>12051.5</v>
      </c>
      <c r="S21" s="2" t="s">
        <v>0</v>
      </c>
    </row>
    <row r="22" spans="1:20" x14ac:dyDescent="0.25">
      <c r="H22" s="4">
        <f>11*2229.5-$C$16</f>
        <v>6859.5</v>
      </c>
      <c r="I22" s="13">
        <f>11*2238.5-$C$16</f>
        <v>6958.5</v>
      </c>
      <c r="J22" s="4">
        <f>11*2274.5-$C$16</f>
        <v>7354.5</v>
      </c>
      <c r="K22" s="13">
        <f>11*2316.5-$C$16</f>
        <v>7816.5</v>
      </c>
      <c r="L22" s="4">
        <f>11*2347.5-$C$16</f>
        <v>8157.5</v>
      </c>
      <c r="M22" s="13">
        <f>11*2384.5-$C$16</f>
        <v>8564.5</v>
      </c>
      <c r="N22" s="4">
        <f>11*2413.5-$C$16</f>
        <v>8883.5</v>
      </c>
      <c r="O22" s="13">
        <f>11*2449.5-$C$16</f>
        <v>9279.5</v>
      </c>
      <c r="P22" s="4">
        <f>11*2485.5-$C$16</f>
        <v>9675.5</v>
      </c>
      <c r="Q22" s="13">
        <f>11*2514.5-$C$16</f>
        <v>9994.5</v>
      </c>
      <c r="R22" s="4">
        <f>11*2551.5-$C$16</f>
        <v>10401.5</v>
      </c>
      <c r="S22" s="2" t="s">
        <v>1</v>
      </c>
    </row>
    <row r="23" spans="1:20" x14ac:dyDescent="0.25">
      <c r="H23" s="4">
        <f>11*2179.5-$C$16</f>
        <v>6309.5</v>
      </c>
      <c r="I23" s="13">
        <f>11*2188.5-$C$16</f>
        <v>6408.5</v>
      </c>
      <c r="J23" s="4">
        <f>11*2224.5-$C$16</f>
        <v>6804.5</v>
      </c>
      <c r="K23" s="13">
        <f>11*2266.5-$C$16</f>
        <v>7266.5</v>
      </c>
      <c r="L23" s="4">
        <f>11*2297.5-$C$16</f>
        <v>7607.5</v>
      </c>
      <c r="M23" s="13">
        <f>11*2334.5-$C$16</f>
        <v>8014.5</v>
      </c>
      <c r="N23" s="4">
        <f>11*2363.5-$C$16</f>
        <v>8333.5</v>
      </c>
      <c r="O23" s="13">
        <f>11*2399.5-$C$16</f>
        <v>8729.5</v>
      </c>
      <c r="P23" s="4">
        <f>11*2435.5-$C$16</f>
        <v>9125.5</v>
      </c>
      <c r="Q23" s="13">
        <f>11*2464.5-$C$16</f>
        <v>9444.5</v>
      </c>
      <c r="R23" s="4">
        <f>11*2501.5-$C$16</f>
        <v>9851.5</v>
      </c>
      <c r="S23" s="2" t="s">
        <v>2</v>
      </c>
    </row>
    <row r="24" spans="1:20" ht="15.75" thickBot="1" x14ac:dyDescent="0.3">
      <c r="H24" s="6">
        <f>11*2029.5-$C$16</f>
        <v>4659.5</v>
      </c>
      <c r="I24" s="14">
        <f>11*2038.5-$C$16</f>
        <v>4758.5</v>
      </c>
      <c r="J24" s="6">
        <f>11*2074.5-$C$16</f>
        <v>5154.5</v>
      </c>
      <c r="K24" s="14">
        <f>11*2116.5-$C$16</f>
        <v>5616.5</v>
      </c>
      <c r="L24" s="6">
        <f>11*2147.5-$C$16</f>
        <v>5957.5</v>
      </c>
      <c r="M24" s="14">
        <f>11*2184.5-$C$16</f>
        <v>6364.5</v>
      </c>
      <c r="N24" s="6">
        <f>11*2213.5-$C$16</f>
        <v>6683.5</v>
      </c>
      <c r="O24" s="14">
        <f>11*2249.5-$C$16</f>
        <v>7079.5</v>
      </c>
      <c r="P24" s="6">
        <f>11*2285.5-$C$16</f>
        <v>7475.5</v>
      </c>
      <c r="Q24" s="14">
        <f>11*2314.5-$C$16</f>
        <v>7794.5</v>
      </c>
      <c r="R24" s="6">
        <f>11*2351.5-$C$16</f>
        <v>8201.5</v>
      </c>
      <c r="S24" s="3" t="s">
        <v>3</v>
      </c>
    </row>
    <row r="25" spans="1:20" x14ac:dyDescent="0.25">
      <c r="H25" s="15"/>
      <c r="I25" s="16"/>
      <c r="J25" s="16"/>
      <c r="K25" s="16"/>
      <c r="L25" s="16"/>
      <c r="M25" s="75"/>
      <c r="N25" s="75"/>
      <c r="O25" s="75"/>
      <c r="P25" s="75"/>
      <c r="Q25" s="76"/>
    </row>
    <row r="26" spans="1:20" x14ac:dyDescent="0.25">
      <c r="H26" s="17"/>
      <c r="I26" s="17"/>
      <c r="J26" s="17"/>
      <c r="K26" s="17"/>
      <c r="L26" s="17"/>
    </row>
    <row r="27" spans="1:20" x14ac:dyDescent="0.25">
      <c r="H27" s="17"/>
      <c r="I27" s="17"/>
      <c r="J27" s="17"/>
      <c r="K27" s="17"/>
      <c r="L27" s="17"/>
    </row>
    <row r="28" spans="1:20" x14ac:dyDescent="0.25">
      <c r="H28" s="17"/>
      <c r="I28" s="17"/>
      <c r="J28" s="17"/>
      <c r="K28" s="17"/>
      <c r="L28" s="17"/>
    </row>
    <row r="29" spans="1:20" x14ac:dyDescent="0.25">
      <c r="H29" s="17"/>
      <c r="I29" s="17"/>
      <c r="J29" s="17"/>
      <c r="K29" s="17"/>
      <c r="L29" s="17"/>
    </row>
    <row r="30" spans="1:20" x14ac:dyDescent="0.25">
      <c r="H30" s="17"/>
      <c r="I30" s="17"/>
      <c r="J30" s="17"/>
      <c r="K30" s="17"/>
      <c r="L30" s="17"/>
    </row>
    <row r="31" spans="1:20" x14ac:dyDescent="0.25">
      <c r="H31" s="17"/>
      <c r="I31" s="17"/>
      <c r="J31" s="17"/>
      <c r="K31" s="17"/>
      <c r="L31" s="17"/>
    </row>
    <row r="32" spans="1:20" x14ac:dyDescent="0.25">
      <c r="H32" s="17"/>
      <c r="I32" s="17"/>
      <c r="J32" s="17"/>
      <c r="K32" s="17"/>
      <c r="L32" s="17"/>
    </row>
    <row r="33" spans="8:12" x14ac:dyDescent="0.25">
      <c r="H33" s="17"/>
      <c r="I33" s="17"/>
      <c r="J33" s="17"/>
      <c r="K33" s="17"/>
      <c r="L33" s="17"/>
    </row>
  </sheetData>
  <mergeCells count="8">
    <mergeCell ref="M25:Q25"/>
    <mergeCell ref="I1:J1"/>
    <mergeCell ref="H7:M7"/>
    <mergeCell ref="H13:M13"/>
    <mergeCell ref="A16:B16"/>
    <mergeCell ref="C18:E18"/>
    <mergeCell ref="C19:E19"/>
    <mergeCell ref="H19:M19"/>
  </mergeCells>
  <dataValidations count="1">
    <dataValidation type="list" allowBlank="1" showInputMessage="1" showErrorMessage="1" sqref="M1" xr:uid="{00000000-0002-0000-0800-000000000000}">
      <formula1>Select_Title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Instructions</vt:lpstr>
      <vt:lpstr>Data</vt:lpstr>
      <vt:lpstr>Pin15</vt:lpstr>
      <vt:lpstr>Pin16</vt:lpstr>
      <vt:lpstr>Pin17</vt:lpstr>
      <vt:lpstr>Pin21</vt:lpstr>
      <vt:lpstr>Pin30</vt:lpstr>
      <vt:lpstr>Pin31</vt:lpstr>
      <vt:lpstr>Pin 40</vt:lpstr>
      <vt:lpstr>Pin51</vt:lpstr>
      <vt:lpstr>'Pin 40'!Options1</vt:lpstr>
      <vt:lpstr>'Pin15'!Options1</vt:lpstr>
      <vt:lpstr>'Pin16'!Options1</vt:lpstr>
      <vt:lpstr>'Pin17'!Options1</vt:lpstr>
      <vt:lpstr>'Pin21'!Options1</vt:lpstr>
      <vt:lpstr>'Pin30'!Options1</vt:lpstr>
      <vt:lpstr>'Pin31'!Options1</vt:lpstr>
      <vt:lpstr>'Pin51'!Options1</vt:lpstr>
      <vt:lpstr>'Pin 40'!Select_Title</vt:lpstr>
      <vt:lpstr>'Pin15'!Select_Title</vt:lpstr>
      <vt:lpstr>'Pin16'!Select_Title</vt:lpstr>
      <vt:lpstr>'Pin17'!Select_Title</vt:lpstr>
      <vt:lpstr>'Pin21'!Select_Title</vt:lpstr>
      <vt:lpstr>'Pin30'!Select_Title</vt:lpstr>
      <vt:lpstr>'Pin31'!Select_Title</vt:lpstr>
      <vt:lpstr>'Pin51'!Select_Title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ahmcf</cp:lastModifiedBy>
  <dcterms:created xsi:type="dcterms:W3CDTF">2010-12-14T09:34:22Z</dcterms:created>
  <dcterms:modified xsi:type="dcterms:W3CDTF">2017-12-21T20:21:00Z</dcterms:modified>
</cp:coreProperties>
</file>